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Nakłady Łącznie" sheetId="1" r:id="rId1"/>
    <sheet name="Szczegółowo" sheetId="2" r:id="rId2"/>
    <sheet name="Środki własne" sheetId="3" r:id="rId3"/>
  </sheets>
  <definedNames/>
  <calcPr fullCalcOnLoad="1"/>
</workbook>
</file>

<file path=xl/sharedStrings.xml><?xml version="1.0" encoding="utf-8"?>
<sst xmlns="http://schemas.openxmlformats.org/spreadsheetml/2006/main" count="235" uniqueCount="66">
  <si>
    <t>Planowane projekty Gminy Wyszków na lata 2007-2013</t>
  </si>
  <si>
    <t>Załącznik Nr 1 do Uchwaly Rady Miejskiej w Wyszkowie NR XII/75/2007 z dnia 09.08.2007 r.</t>
  </si>
  <si>
    <t>Lp.</t>
  </si>
  <si>
    <t>Nazwa projektu</t>
  </si>
  <si>
    <t>Program</t>
  </si>
  <si>
    <t>Priorytet</t>
  </si>
  <si>
    <t>Fundusz</t>
  </si>
  <si>
    <t>Wartość projektu</t>
  </si>
  <si>
    <t>Dofinansowanie z UE - %</t>
  </si>
  <si>
    <t>Udział własny w %</t>
  </si>
  <si>
    <t>Środki własne</t>
  </si>
  <si>
    <t>Wydatki w latach</t>
  </si>
  <si>
    <t>Razem wydatki</t>
  </si>
  <si>
    <t>Poprawa gospodarki wodno-ściekowej Gminy Wyszków poprzez rozbudowę sieci kanalizacji sanitarnej</t>
  </si>
  <si>
    <t>Regionalny Program Operacyjny Województwa Mazowieckiego 2007-2013</t>
  </si>
  <si>
    <r>
      <t xml:space="preserve">Priorytet IV </t>
    </r>
    <r>
      <rPr>
        <i/>
        <sz val="8"/>
        <rFont val="Arial"/>
        <family val="2"/>
      </rPr>
      <t>Inwestycje w ochronę środowiska</t>
    </r>
  </si>
  <si>
    <t>EFRR</t>
  </si>
  <si>
    <t>Środki do pozyskania</t>
  </si>
  <si>
    <t>Razem:</t>
  </si>
  <si>
    <t>Modernizacja drogi gminnej w miejscowości Leszczydół Nowiny (ul. Szkolna) – etap II</t>
  </si>
  <si>
    <r>
      <t xml:space="preserve">Priorytet III </t>
    </r>
    <r>
      <rPr>
        <i/>
        <sz val="8"/>
        <rFont val="Arial"/>
        <family val="2"/>
      </rPr>
      <t>Regionalny system transportowy</t>
    </r>
  </si>
  <si>
    <t>Modernizacja drogi gminnej dla miejscowości Lucynów i Lucynów Duży – etap II</t>
  </si>
  <si>
    <t>Budowa obwodnicy śródmiejskiej – etap II</t>
  </si>
  <si>
    <t xml:space="preserve">Poprawa systemu drogowego w Gminie Wyszków </t>
  </si>
  <si>
    <r>
      <t>Priorytet III</t>
    </r>
    <r>
      <rPr>
        <i/>
        <sz val="8"/>
        <rFont val="Arial"/>
        <family val="2"/>
      </rPr>
      <t xml:space="preserve"> Regionalny system transportowy</t>
    </r>
  </si>
  <si>
    <t>Modernizacja budynku WOK HUTNIK</t>
  </si>
  <si>
    <r>
      <t xml:space="preserve">Priorytet VI </t>
    </r>
    <r>
      <rPr>
        <i/>
        <sz val="8"/>
        <rFont val="Arial"/>
        <family val="2"/>
      </rPr>
      <t>Wykorzystanie walorów naturalnych i kulturowych dla rozwoju turystyki i rekreacji</t>
    </r>
  </si>
  <si>
    <t>Modernizacja stadionu miejskiego</t>
  </si>
  <si>
    <r>
      <t xml:space="preserve">Priorytet V. </t>
    </r>
    <r>
      <rPr>
        <i/>
        <sz val="8"/>
        <rFont val="Arial"/>
        <family val="2"/>
      </rPr>
      <t>Wzmacnianie roli miast w rozwoju regionu</t>
    </r>
  </si>
  <si>
    <t>Budowa Sali Gimnastycznej przy Szkole Podstawowej w Leszczydole Starym</t>
  </si>
  <si>
    <r>
      <t xml:space="preserve">Priorytet VII </t>
    </r>
    <r>
      <rPr>
        <i/>
        <sz val="8"/>
        <rFont val="Arial"/>
        <family val="2"/>
      </rPr>
      <t xml:space="preserve">Tworzenie i poprawa warunków dla rozwoju kapitału ludzkiego </t>
    </r>
  </si>
  <si>
    <t>Poprawa infrastruktury w obszarze pomocy społecznej</t>
  </si>
  <si>
    <r>
      <t xml:space="preserve">Priorytet VII </t>
    </r>
    <r>
      <rPr>
        <i/>
        <sz val="8"/>
        <rFont val="Arial"/>
        <family val="2"/>
      </rPr>
      <t>Tworzenie i poprawa warunków dla rozwoju kapitału ludzkiego</t>
    </r>
  </si>
  <si>
    <t>Budowa sieci tras rowerowych, pieszych, wodnych oraz konnych w Gminie Wyszków</t>
  </si>
  <si>
    <t xml:space="preserve">Zwiększenie atrakcyjności turystycznej Gminy Wyszków  </t>
  </si>
  <si>
    <t xml:space="preserve">Informatyzacja Gminy Wyszków </t>
  </si>
  <si>
    <r>
      <t xml:space="preserve">Priorytet II  </t>
    </r>
    <r>
      <rPr>
        <i/>
        <sz val="8"/>
        <rFont val="Arial"/>
        <family val="2"/>
      </rPr>
      <t>Przyspieszenie e-rozwoju Mazowsza</t>
    </r>
  </si>
  <si>
    <t>Poprawa infrastruktury sportowej przy Zespole Szkół na os. Polonez</t>
  </si>
  <si>
    <t>Priorytet VII Tworzenie i poprawa warunków dla rozwoju kapitału ludzkiego</t>
  </si>
  <si>
    <t>Zwiększenie potencjału funkcjonowania administracji Gminy Wyszków – organizacja szkoleń</t>
  </si>
  <si>
    <t>Program Operacyjny Kapitał Ludzki</t>
  </si>
  <si>
    <r>
      <t xml:space="preserve">        Priorytet V</t>
    </r>
    <r>
      <rPr>
        <i/>
        <sz val="8"/>
        <rFont val="Arial"/>
        <family val="2"/>
      </rPr>
      <t xml:space="preserve">          Dobre Rządzenie</t>
    </r>
  </si>
  <si>
    <t>EFS</t>
  </si>
  <si>
    <t>RAZEM WSZYSTKIE PROJEKTY</t>
  </si>
  <si>
    <t>Rozbicie programów łączonych</t>
  </si>
  <si>
    <t>Droga w Ślubowie</t>
  </si>
  <si>
    <t>Droga w Łosinnem</t>
  </si>
  <si>
    <t>Ulica Żytnia</t>
  </si>
  <si>
    <t>Ulica Graniczna</t>
  </si>
  <si>
    <t>Ulica Leśna</t>
  </si>
  <si>
    <t>Ulica Mazowiecka</t>
  </si>
  <si>
    <t>RAZEM – DROGI</t>
  </si>
  <si>
    <t>Kanalizacja w Rybnie, Rybienku Starym, Tulewie Górnym i Dolnym</t>
  </si>
  <si>
    <t>Kanalizacja sanitarna w Lucynowie, Lucynowie Dużym, Tumanku, Fideście</t>
  </si>
  <si>
    <t>Kanalizacja Rybienko Nowe</t>
  </si>
  <si>
    <t>RAZEM – KANALIZACJE</t>
  </si>
  <si>
    <t>Planowane projekty inwestycyjne Gminy Wyszków na lata 2007-2013</t>
  </si>
  <si>
    <t xml:space="preserve">Załącznik Nr 1 do Uchwaly Rady Miejskiej Nr </t>
  </si>
  <si>
    <t>Udział środków własnych w latach</t>
  </si>
  <si>
    <t>Poprawa gospodarki wodno-ściekowej gminy Wyszków poprzez rozbudowę sieci kanalizacji sanitarnej</t>
  </si>
  <si>
    <t xml:space="preserve">Poprawa systemu drogowego w gminie Wyszków </t>
  </si>
  <si>
    <t>Budowa Hali Sportowej przy Szkole Podstawowej w Leszczydole Starym</t>
  </si>
  <si>
    <t>Budowa sieci tras rowerowych, pieszych, wodnych oraz konnych w gminie Wyszków</t>
  </si>
  <si>
    <t xml:space="preserve">Zwiększenie atrakcyjności turystycznej gminy Wyszków  </t>
  </si>
  <si>
    <t>Informatyzacja Gminy Wyszków –  projekt SIGMA</t>
  </si>
  <si>
    <t>Szkolenie pracowników Urzędu Miejskiego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</si>
</sst>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4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0" fillId="0" borderId="0" xfId="0" applyFill="1" applyAlignment="1">
      <alignment/>
    </xf>
    <xf numFmtId="164" fontId="2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 wrapText="1"/>
    </xf>
    <xf numFmtId="164" fontId="4" fillId="5" borderId="1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left" vertical="center" wrapText="1"/>
    </xf>
    <xf numFmtId="164" fontId="4" fillId="5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wrapText="1"/>
    </xf>
    <xf numFmtId="165" fontId="4" fillId="5" borderId="1" xfId="0" applyNumberFormat="1" applyFont="1" applyFill="1" applyBorder="1" applyAlignment="1">
      <alignment/>
    </xf>
    <xf numFmtId="164" fontId="1" fillId="5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Border="1" applyAlignment="1">
      <alignment wrapText="1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2.8515625" style="0" customWidth="1"/>
    <col min="2" max="2" width="21.421875" style="1" customWidth="1"/>
    <col min="3" max="3" width="14.28125" style="1" customWidth="1"/>
    <col min="4" max="4" width="15.28125" style="1" customWidth="1"/>
    <col min="5" max="5" width="7.00390625" style="1" customWidth="1"/>
    <col min="6" max="6" width="9.8515625" style="2" customWidth="1"/>
    <col min="7" max="7" width="6.8515625" style="3" customWidth="1"/>
    <col min="8" max="8" width="6.28125" style="3" customWidth="1"/>
    <col min="9" max="9" width="9.421875" style="1" customWidth="1"/>
    <col min="10" max="10" width="8.421875" style="0" customWidth="1"/>
    <col min="11" max="17" width="8.57421875" style="2" customWidth="1"/>
    <col min="18" max="16384" width="11.57421875" style="0" customWidth="1"/>
  </cols>
  <sheetData>
    <row r="1" spans="1:4" ht="12.75">
      <c r="A1" s="4" t="s">
        <v>0</v>
      </c>
      <c r="B1" s="5"/>
      <c r="C1" s="5"/>
      <c r="D1" s="5"/>
    </row>
    <row r="3" spans="1:13" ht="12.75">
      <c r="A3" s="4"/>
      <c r="F3" s="6"/>
      <c r="G3"/>
      <c r="J3" s="7" t="s">
        <v>1</v>
      </c>
      <c r="M3"/>
    </row>
    <row r="5" spans="1:29" ht="35.2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 t="s">
        <v>8</v>
      </c>
      <c r="H5" s="11" t="s">
        <v>9</v>
      </c>
      <c r="I5" s="9" t="s">
        <v>10</v>
      </c>
      <c r="J5" s="12" t="s">
        <v>11</v>
      </c>
      <c r="K5" s="12"/>
      <c r="L5" s="12"/>
      <c r="M5" s="12"/>
      <c r="N5" s="12"/>
      <c r="O5" s="12"/>
      <c r="P5" s="12"/>
      <c r="Q5" s="13" t="s">
        <v>12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17" ht="12.75">
      <c r="A6" s="8"/>
      <c r="B6" s="9"/>
      <c r="C6" s="9"/>
      <c r="D6" s="9"/>
      <c r="E6" s="9"/>
      <c r="F6" s="10"/>
      <c r="G6" s="11"/>
      <c r="H6" s="11"/>
      <c r="I6" s="9"/>
      <c r="J6" s="12">
        <v>2007</v>
      </c>
      <c r="K6" s="15">
        <v>2008</v>
      </c>
      <c r="L6" s="15">
        <v>2009</v>
      </c>
      <c r="M6" s="15">
        <v>2010</v>
      </c>
      <c r="N6" s="15">
        <v>2011</v>
      </c>
      <c r="O6" s="15">
        <v>2012</v>
      </c>
      <c r="P6" s="15">
        <v>2013</v>
      </c>
      <c r="Q6" s="13"/>
    </row>
    <row r="7" spans="1:17" ht="27.75" customHeight="1">
      <c r="A7" s="8">
        <v>1</v>
      </c>
      <c r="B7" s="16" t="s">
        <v>13</v>
      </c>
      <c r="C7" s="9" t="s">
        <v>14</v>
      </c>
      <c r="D7" s="9" t="s">
        <v>15</v>
      </c>
      <c r="E7" s="9" t="s">
        <v>16</v>
      </c>
      <c r="F7" s="17">
        <f>SUM(J9:P9)</f>
        <v>24010000</v>
      </c>
      <c r="G7" s="11">
        <f>Q8/Q9</f>
        <v>0.8496459808413162</v>
      </c>
      <c r="H7" s="11">
        <f>Q7/Q9</f>
        <v>0.15035401915868388</v>
      </c>
      <c r="I7" s="18" t="s">
        <v>10</v>
      </c>
      <c r="J7" s="19">
        <v>10000</v>
      </c>
      <c r="K7" s="19">
        <v>37500</v>
      </c>
      <c r="L7" s="19">
        <v>1500000</v>
      </c>
      <c r="M7" s="19">
        <v>1200000</v>
      </c>
      <c r="N7" s="19">
        <v>862500</v>
      </c>
      <c r="O7" s="19"/>
      <c r="P7" s="19"/>
      <c r="Q7" s="19">
        <f>SUM(J7:P7)</f>
        <v>3610000</v>
      </c>
    </row>
    <row r="8" spans="1:17" ht="27.75" customHeight="1">
      <c r="A8" s="8"/>
      <c r="B8" s="16"/>
      <c r="C8" s="9"/>
      <c r="D8" s="9"/>
      <c r="E8" s="9"/>
      <c r="F8" s="17"/>
      <c r="G8" s="11"/>
      <c r="H8" s="11"/>
      <c r="I8" s="18" t="s">
        <v>17</v>
      </c>
      <c r="J8" s="19"/>
      <c r="K8" s="19">
        <v>212500</v>
      </c>
      <c r="L8" s="19">
        <v>8500000</v>
      </c>
      <c r="M8" s="19">
        <v>6800000</v>
      </c>
      <c r="N8" s="19">
        <v>4887500</v>
      </c>
      <c r="O8" s="19"/>
      <c r="P8" s="19"/>
      <c r="Q8" s="19">
        <f>SUM(J8:P8)</f>
        <v>20400000</v>
      </c>
    </row>
    <row r="9" spans="1:17" ht="27.75" customHeight="1">
      <c r="A9" s="8"/>
      <c r="B9" s="16"/>
      <c r="C9" s="9"/>
      <c r="D9" s="9"/>
      <c r="E9" s="9"/>
      <c r="F9" s="17"/>
      <c r="G9" s="11"/>
      <c r="H9" s="11"/>
      <c r="I9" s="20" t="s">
        <v>18</v>
      </c>
      <c r="J9" s="21">
        <f>J7+J8</f>
        <v>10000</v>
      </c>
      <c r="K9" s="21">
        <f>K7+K8</f>
        <v>250000</v>
      </c>
      <c r="L9" s="21">
        <f>L7+L8</f>
        <v>10000000</v>
      </c>
      <c r="M9" s="21">
        <f>M7+M8</f>
        <v>8000000</v>
      </c>
      <c r="N9" s="21">
        <f>N7+N8</f>
        <v>5750000</v>
      </c>
      <c r="O9" s="21"/>
      <c r="P9" s="21"/>
      <c r="Q9" s="21">
        <f>SUM(J9:P9)</f>
        <v>24010000</v>
      </c>
    </row>
    <row r="10" spans="1:17" ht="27.75" customHeight="1">
      <c r="A10" s="8">
        <v>2</v>
      </c>
      <c r="B10" s="16" t="s">
        <v>19</v>
      </c>
      <c r="C10" s="9" t="s">
        <v>14</v>
      </c>
      <c r="D10" s="9" t="s">
        <v>20</v>
      </c>
      <c r="E10" s="9" t="s">
        <v>16</v>
      </c>
      <c r="F10" s="17">
        <f>SUM(J12:P12)</f>
        <v>1675000</v>
      </c>
      <c r="G10" s="11">
        <f>Q11/Q12</f>
        <v>0.8373134328358209</v>
      </c>
      <c r="H10" s="11">
        <f>Q10/Q12</f>
        <v>0.1626865671641791</v>
      </c>
      <c r="I10" s="18" t="s">
        <v>10</v>
      </c>
      <c r="J10" s="19">
        <v>25000</v>
      </c>
      <c r="K10" s="19">
        <f>0.15*250000</f>
        <v>37500</v>
      </c>
      <c r="L10" s="19">
        <f>0.15*1400000</f>
        <v>210000</v>
      </c>
      <c r="M10" s="19"/>
      <c r="N10" s="19"/>
      <c r="O10" s="19"/>
      <c r="P10" s="19"/>
      <c r="Q10" s="19">
        <f>SUM(J10:P10)</f>
        <v>272500</v>
      </c>
    </row>
    <row r="11" spans="1:17" ht="27.75" customHeight="1">
      <c r="A11" s="8"/>
      <c r="B11" s="16"/>
      <c r="C11" s="9"/>
      <c r="D11" s="9"/>
      <c r="E11" s="9"/>
      <c r="F11" s="17"/>
      <c r="G11" s="11"/>
      <c r="H11" s="11"/>
      <c r="I11" s="18" t="s">
        <v>17</v>
      </c>
      <c r="J11" s="19"/>
      <c r="K11" s="19">
        <f>0.85*250000</f>
        <v>212500</v>
      </c>
      <c r="L11" s="19">
        <f>0.85*1400000</f>
        <v>1190000</v>
      </c>
      <c r="M11" s="19"/>
      <c r="N11" s="19"/>
      <c r="O11" s="19"/>
      <c r="P11" s="19"/>
      <c r="Q11" s="19">
        <f>SUM(J11:P11)</f>
        <v>1402500</v>
      </c>
    </row>
    <row r="12" spans="1:17" ht="27.75" customHeight="1">
      <c r="A12" s="8"/>
      <c r="B12" s="16"/>
      <c r="C12" s="9"/>
      <c r="D12" s="9"/>
      <c r="E12" s="9"/>
      <c r="F12" s="17"/>
      <c r="G12" s="11"/>
      <c r="H12" s="11"/>
      <c r="I12" s="20" t="s">
        <v>18</v>
      </c>
      <c r="J12" s="21">
        <f>J10+J11</f>
        <v>25000</v>
      </c>
      <c r="K12" s="21">
        <f>K10+K11</f>
        <v>250000</v>
      </c>
      <c r="L12" s="21">
        <f>L10+L11</f>
        <v>1400000</v>
      </c>
      <c r="M12" s="21"/>
      <c r="N12" s="21"/>
      <c r="O12" s="21"/>
      <c r="P12" s="21"/>
      <c r="Q12" s="21">
        <f>SUM(J12:P12)</f>
        <v>1675000</v>
      </c>
    </row>
    <row r="13" spans="1:17" ht="27.75" customHeight="1">
      <c r="A13" s="8">
        <v>3</v>
      </c>
      <c r="B13" s="16" t="s">
        <v>21</v>
      </c>
      <c r="C13" s="9" t="s">
        <v>14</v>
      </c>
      <c r="D13" s="9" t="s">
        <v>20</v>
      </c>
      <c r="E13" s="9" t="s">
        <v>16</v>
      </c>
      <c r="F13" s="17">
        <f>SUM(J15:P15)</f>
        <v>1525000</v>
      </c>
      <c r="G13" s="11">
        <f>Q14/Q15</f>
        <v>0.8360655737704918</v>
      </c>
      <c r="H13" s="11">
        <f>Q13/Q15</f>
        <v>0.16393442622950818</v>
      </c>
      <c r="I13" s="18" t="s">
        <v>10</v>
      </c>
      <c r="J13" s="19">
        <v>25000</v>
      </c>
      <c r="K13" s="19">
        <f>25000*0.15</f>
        <v>3750</v>
      </c>
      <c r="L13" s="19">
        <f>500000*0.15</f>
        <v>75000</v>
      </c>
      <c r="M13" s="19">
        <f>975000*0.15</f>
        <v>146250</v>
      </c>
      <c r="N13" s="19"/>
      <c r="O13" s="19"/>
      <c r="P13" s="19"/>
      <c r="Q13" s="19">
        <f>SUM(J13:P13)</f>
        <v>250000</v>
      </c>
    </row>
    <row r="14" spans="1:17" ht="27.75" customHeight="1">
      <c r="A14" s="8"/>
      <c r="B14" s="16"/>
      <c r="C14" s="9"/>
      <c r="D14" s="9"/>
      <c r="E14" s="9"/>
      <c r="F14" s="17"/>
      <c r="G14" s="11"/>
      <c r="H14" s="11"/>
      <c r="I14" s="18" t="s">
        <v>17</v>
      </c>
      <c r="J14" s="19"/>
      <c r="K14" s="19">
        <f>25000*0.85</f>
        <v>21250</v>
      </c>
      <c r="L14" s="19">
        <f>500000*0.85</f>
        <v>425000</v>
      </c>
      <c r="M14" s="19">
        <f>975000*0.85</f>
        <v>828750</v>
      </c>
      <c r="N14" s="19"/>
      <c r="O14" s="19"/>
      <c r="P14" s="19"/>
      <c r="Q14" s="19">
        <f>SUM(J14:P14)</f>
        <v>1275000</v>
      </c>
    </row>
    <row r="15" spans="1:17" ht="27.75" customHeight="1">
      <c r="A15" s="8"/>
      <c r="B15" s="16"/>
      <c r="C15" s="9"/>
      <c r="D15" s="9"/>
      <c r="E15" s="9"/>
      <c r="F15" s="17"/>
      <c r="G15" s="11"/>
      <c r="H15" s="11"/>
      <c r="I15" s="20" t="s">
        <v>18</v>
      </c>
      <c r="J15" s="21">
        <f>J13+J14</f>
        <v>25000</v>
      </c>
      <c r="K15" s="21">
        <f>K13+K14</f>
        <v>25000</v>
      </c>
      <c r="L15" s="21">
        <f>L13+L14</f>
        <v>500000</v>
      </c>
      <c r="M15" s="21">
        <f>M13+M14</f>
        <v>975000</v>
      </c>
      <c r="N15" s="21"/>
      <c r="O15" s="21"/>
      <c r="P15" s="21"/>
      <c r="Q15" s="21">
        <f>SUM(J15:P15)</f>
        <v>1525000</v>
      </c>
    </row>
    <row r="16" spans="1:17" ht="27.75" customHeight="1">
      <c r="A16" s="8">
        <v>4</v>
      </c>
      <c r="B16" s="16" t="s">
        <v>22</v>
      </c>
      <c r="C16" s="9" t="s">
        <v>14</v>
      </c>
      <c r="D16" s="9" t="s">
        <v>20</v>
      </c>
      <c r="E16" s="9" t="s">
        <v>16</v>
      </c>
      <c r="F16" s="17">
        <f>SUM(J18:P18)</f>
        <v>10025000</v>
      </c>
      <c r="G16" s="11">
        <f>Q17/Q18</f>
        <v>0.8478802992518704</v>
      </c>
      <c r="H16" s="11">
        <f>Q16/Q18</f>
        <v>0.15211970074812967</v>
      </c>
      <c r="I16" s="18" t="s">
        <v>10</v>
      </c>
      <c r="J16" s="19">
        <v>25000</v>
      </c>
      <c r="K16" s="19">
        <f>500000*0.15</f>
        <v>75000</v>
      </c>
      <c r="L16" s="19">
        <f>9500000*0.15</f>
        <v>1425000</v>
      </c>
      <c r="M16" s="19"/>
      <c r="N16" s="19"/>
      <c r="O16" s="19"/>
      <c r="P16" s="19"/>
      <c r="Q16" s="19">
        <f>SUM(J16:P16)</f>
        <v>1525000</v>
      </c>
    </row>
    <row r="17" spans="1:17" ht="27.75" customHeight="1">
      <c r="A17" s="8"/>
      <c r="B17" s="16"/>
      <c r="C17" s="9"/>
      <c r="D17" s="9"/>
      <c r="E17" s="9"/>
      <c r="F17" s="17"/>
      <c r="G17" s="11"/>
      <c r="H17" s="11"/>
      <c r="I17" s="18" t="s">
        <v>17</v>
      </c>
      <c r="J17" s="19"/>
      <c r="K17" s="19">
        <f>500000*0.85</f>
        <v>425000</v>
      </c>
      <c r="L17" s="19">
        <f>9500000*0.85</f>
        <v>8075000</v>
      </c>
      <c r="M17" s="19"/>
      <c r="N17" s="19"/>
      <c r="O17" s="19"/>
      <c r="P17" s="19"/>
      <c r="Q17" s="19">
        <f>SUM(J17:P17)</f>
        <v>8500000</v>
      </c>
    </row>
    <row r="18" spans="1:17" ht="27.75" customHeight="1">
      <c r="A18" s="8"/>
      <c r="B18" s="16"/>
      <c r="C18" s="9"/>
      <c r="D18" s="9"/>
      <c r="E18" s="9"/>
      <c r="F18" s="17"/>
      <c r="G18" s="11"/>
      <c r="H18" s="11"/>
      <c r="I18" s="20" t="s">
        <v>18</v>
      </c>
      <c r="J18" s="21">
        <f>J16+J17</f>
        <v>25000</v>
      </c>
      <c r="K18" s="21">
        <f>K16+K17</f>
        <v>500000</v>
      </c>
      <c r="L18" s="21">
        <f>L16+L17</f>
        <v>9500000</v>
      </c>
      <c r="M18" s="21"/>
      <c r="N18" s="21"/>
      <c r="O18" s="21"/>
      <c r="P18" s="21"/>
      <c r="Q18" s="21">
        <f>SUM(J18:P18)</f>
        <v>10025000</v>
      </c>
    </row>
    <row r="19" spans="1:17" ht="27.75" customHeight="1">
      <c r="A19" s="8">
        <v>5</v>
      </c>
      <c r="B19" s="16" t="s">
        <v>23</v>
      </c>
      <c r="C19" s="9" t="s">
        <v>14</v>
      </c>
      <c r="D19" s="9" t="s">
        <v>24</v>
      </c>
      <c r="E19" s="9" t="s">
        <v>16</v>
      </c>
      <c r="F19" s="17">
        <f>SUM(J21:P21)</f>
        <v>10750000</v>
      </c>
      <c r="G19" s="11">
        <f>Q20/Q21</f>
        <v>0.8341860465116279</v>
      </c>
      <c r="H19" s="11">
        <f>Q19/Q21</f>
        <v>0.1658139534883721</v>
      </c>
      <c r="I19" s="18" t="s">
        <v>10</v>
      </c>
      <c r="J19" s="19">
        <v>200000</v>
      </c>
      <c r="K19" s="19">
        <v>48750</v>
      </c>
      <c r="L19" s="19">
        <v>821250</v>
      </c>
      <c r="M19" s="19">
        <v>712500</v>
      </c>
      <c r="N19" s="19"/>
      <c r="O19" s="19"/>
      <c r="P19" s="19"/>
      <c r="Q19" s="19">
        <f>SUM(J19:P19)</f>
        <v>1782500</v>
      </c>
    </row>
    <row r="20" spans="1:17" ht="27.75" customHeight="1">
      <c r="A20" s="8"/>
      <c r="B20" s="16"/>
      <c r="C20" s="9"/>
      <c r="D20" s="9"/>
      <c r="E20" s="9"/>
      <c r="F20" s="17"/>
      <c r="G20" s="11"/>
      <c r="H20" s="11"/>
      <c r="I20" s="18" t="s">
        <v>17</v>
      </c>
      <c r="J20" s="19"/>
      <c r="K20" s="19">
        <v>276250</v>
      </c>
      <c r="L20" s="19">
        <v>4653750</v>
      </c>
      <c r="M20" s="19">
        <v>4037500</v>
      </c>
      <c r="N20" s="19"/>
      <c r="O20" s="19"/>
      <c r="P20" s="19"/>
      <c r="Q20" s="19">
        <f>SUM(J20:P20)</f>
        <v>8967500</v>
      </c>
    </row>
    <row r="21" spans="1:17" ht="27.75" customHeight="1">
      <c r="A21" s="8"/>
      <c r="B21" s="16"/>
      <c r="C21" s="9"/>
      <c r="D21" s="9"/>
      <c r="E21" s="9"/>
      <c r="F21" s="17"/>
      <c r="G21" s="11"/>
      <c r="H21" s="11"/>
      <c r="I21" s="20" t="s">
        <v>18</v>
      </c>
      <c r="J21" s="21">
        <f>J19+J20</f>
        <v>200000</v>
      </c>
      <c r="K21" s="21">
        <f>K19+K20</f>
        <v>325000</v>
      </c>
      <c r="L21" s="21">
        <f>L19+L20</f>
        <v>5475000</v>
      </c>
      <c r="M21" s="21">
        <f>M19+M20</f>
        <v>4750000</v>
      </c>
      <c r="N21" s="21"/>
      <c r="O21" s="21"/>
      <c r="P21" s="21"/>
      <c r="Q21" s="21">
        <f>SUM(J21:P21)</f>
        <v>10750000</v>
      </c>
    </row>
    <row r="22" spans="1:17" ht="27.75" customHeight="1">
      <c r="A22" s="8">
        <v>6</v>
      </c>
      <c r="B22" s="16" t="s">
        <v>25</v>
      </c>
      <c r="C22" s="9" t="s">
        <v>14</v>
      </c>
      <c r="D22" s="9" t="s">
        <v>26</v>
      </c>
      <c r="E22" s="9" t="s">
        <v>16</v>
      </c>
      <c r="F22" s="17">
        <f>SUM(J24:P24)</f>
        <v>1825000</v>
      </c>
      <c r="G22" s="11">
        <f>Q23/Q24</f>
        <v>0.8383561643835616</v>
      </c>
      <c r="H22" s="11">
        <f>Q22/Q24</f>
        <v>0.16164383561643836</v>
      </c>
      <c r="I22" s="18" t="s">
        <v>10</v>
      </c>
      <c r="J22" s="19">
        <v>25000</v>
      </c>
      <c r="K22" s="19">
        <f>300000*0.15</f>
        <v>45000</v>
      </c>
      <c r="L22" s="19">
        <f>1500000*0.15</f>
        <v>225000</v>
      </c>
      <c r="M22" s="19"/>
      <c r="N22" s="19"/>
      <c r="O22" s="19"/>
      <c r="P22" s="19"/>
      <c r="Q22" s="19">
        <f>SUM(J22:P22)</f>
        <v>295000</v>
      </c>
    </row>
    <row r="23" spans="1:17" ht="27.75" customHeight="1">
      <c r="A23" s="8"/>
      <c r="B23" s="16"/>
      <c r="C23" s="9"/>
      <c r="D23" s="9"/>
      <c r="E23" s="9"/>
      <c r="F23" s="17"/>
      <c r="G23" s="11"/>
      <c r="H23" s="11"/>
      <c r="I23" s="18" t="s">
        <v>17</v>
      </c>
      <c r="J23" s="19"/>
      <c r="K23" s="19">
        <f>300000*0.85</f>
        <v>255000</v>
      </c>
      <c r="L23" s="19">
        <f>1500000*0.85</f>
        <v>1275000</v>
      </c>
      <c r="M23" s="19"/>
      <c r="N23" s="19"/>
      <c r="O23" s="19"/>
      <c r="P23" s="19"/>
      <c r="Q23" s="19">
        <f>SUM(J23:P23)</f>
        <v>1530000</v>
      </c>
    </row>
    <row r="24" spans="1:17" ht="27.75" customHeight="1">
      <c r="A24" s="8"/>
      <c r="B24" s="16"/>
      <c r="C24" s="9"/>
      <c r="D24" s="9"/>
      <c r="E24" s="9"/>
      <c r="F24" s="17"/>
      <c r="G24" s="11"/>
      <c r="H24" s="11"/>
      <c r="I24" s="20" t="s">
        <v>18</v>
      </c>
      <c r="J24" s="21">
        <f>J22+J23</f>
        <v>25000</v>
      </c>
      <c r="K24" s="21">
        <f>K22+K23</f>
        <v>300000</v>
      </c>
      <c r="L24" s="21">
        <f>L22+L23</f>
        <v>1500000</v>
      </c>
      <c r="M24" s="21"/>
      <c r="N24" s="21"/>
      <c r="O24" s="21"/>
      <c r="P24" s="21"/>
      <c r="Q24" s="21">
        <f>SUM(J24:P24)</f>
        <v>1825000</v>
      </c>
    </row>
    <row r="25" spans="1:17" ht="27.75" customHeight="1">
      <c r="A25" s="8">
        <v>7</v>
      </c>
      <c r="B25" s="16" t="s">
        <v>27</v>
      </c>
      <c r="C25" s="9" t="s">
        <v>14</v>
      </c>
      <c r="D25" s="9" t="s">
        <v>28</v>
      </c>
      <c r="E25" s="9" t="s">
        <v>16</v>
      </c>
      <c r="F25" s="17">
        <f>SUM(J27:P27)</f>
        <v>11175000</v>
      </c>
      <c r="G25" s="11">
        <f>Q26/Q27</f>
        <v>0.8366890380313199</v>
      </c>
      <c r="H25" s="11">
        <f>Q25/Q27</f>
        <v>0.16331096196868009</v>
      </c>
      <c r="I25" s="18" t="s">
        <v>10</v>
      </c>
      <c r="J25" s="19">
        <v>75000</v>
      </c>
      <c r="K25" s="22">
        <v>100000</v>
      </c>
      <c r="L25" s="19">
        <f>1000000*0.15</f>
        <v>150000</v>
      </c>
      <c r="M25" s="19">
        <f>5000000*0.15</f>
        <v>750000</v>
      </c>
      <c r="N25" s="19">
        <f>5000000*0.15</f>
        <v>750000</v>
      </c>
      <c r="O25" s="19"/>
      <c r="P25" s="19"/>
      <c r="Q25" s="19">
        <f>SUM(J25:P25)</f>
        <v>1825000</v>
      </c>
    </row>
    <row r="26" spans="1:17" ht="27.75" customHeight="1">
      <c r="A26" s="8"/>
      <c r="B26" s="16"/>
      <c r="C26" s="9"/>
      <c r="D26" s="9"/>
      <c r="E26" s="9"/>
      <c r="F26" s="17"/>
      <c r="G26" s="11"/>
      <c r="H26" s="11"/>
      <c r="I26" s="18" t="s">
        <v>17</v>
      </c>
      <c r="J26" s="19"/>
      <c r="K26" s="19"/>
      <c r="L26" s="19">
        <f>1000000*0.85</f>
        <v>850000</v>
      </c>
      <c r="M26" s="19">
        <f>5000000*0.85</f>
        <v>4250000</v>
      </c>
      <c r="N26" s="19">
        <f>5000000*0.85</f>
        <v>4250000</v>
      </c>
      <c r="O26" s="19"/>
      <c r="P26" s="19"/>
      <c r="Q26" s="19">
        <f>SUM(J26:P26)</f>
        <v>9350000</v>
      </c>
    </row>
    <row r="27" spans="1:17" ht="27.75" customHeight="1">
      <c r="A27" s="8"/>
      <c r="B27" s="16"/>
      <c r="C27" s="9"/>
      <c r="D27" s="9"/>
      <c r="E27" s="9"/>
      <c r="F27" s="17"/>
      <c r="G27" s="11"/>
      <c r="H27" s="11"/>
      <c r="I27" s="20" t="s">
        <v>18</v>
      </c>
      <c r="J27" s="21">
        <f>J25+J26</f>
        <v>75000</v>
      </c>
      <c r="K27" s="21">
        <f>K25+K26</f>
        <v>100000</v>
      </c>
      <c r="L27" s="21">
        <f>L25+L26</f>
        <v>1000000</v>
      </c>
      <c r="M27" s="21">
        <f>M25+M26</f>
        <v>5000000</v>
      </c>
      <c r="N27" s="21">
        <f>N25+N26</f>
        <v>5000000</v>
      </c>
      <c r="O27" s="21"/>
      <c r="P27" s="21"/>
      <c r="Q27" s="21">
        <f>SUM(J27:P27)</f>
        <v>11175000</v>
      </c>
    </row>
    <row r="28" spans="1:17" ht="27.75" customHeight="1">
      <c r="A28" s="8">
        <v>8</v>
      </c>
      <c r="B28" s="16" t="s">
        <v>29</v>
      </c>
      <c r="C28" s="9" t="s">
        <v>14</v>
      </c>
      <c r="D28" s="9" t="s">
        <v>30</v>
      </c>
      <c r="E28" s="9" t="s">
        <v>16</v>
      </c>
      <c r="F28" s="17">
        <f>SUM(J30:P30)</f>
        <v>3000000</v>
      </c>
      <c r="G28" s="11">
        <f>Q29/Q30</f>
        <v>0.85</v>
      </c>
      <c r="H28" s="11">
        <f>Q28/Q30</f>
        <v>0.15</v>
      </c>
      <c r="I28" s="18" t="s">
        <v>10</v>
      </c>
      <c r="J28" s="19">
        <v>0</v>
      </c>
      <c r="K28" s="19">
        <f>100000*0.15</f>
        <v>15000</v>
      </c>
      <c r="L28" s="19">
        <f>400000*0.15</f>
        <v>60000</v>
      </c>
      <c r="M28" s="19">
        <f>2500000*0.15</f>
        <v>375000</v>
      </c>
      <c r="N28" s="19"/>
      <c r="O28" s="19"/>
      <c r="P28" s="19"/>
      <c r="Q28" s="19">
        <f>SUM(J28:P28)</f>
        <v>450000</v>
      </c>
    </row>
    <row r="29" spans="1:17" ht="27.75" customHeight="1">
      <c r="A29" s="8"/>
      <c r="B29" s="16"/>
      <c r="C29" s="9"/>
      <c r="D29" s="9"/>
      <c r="E29" s="9"/>
      <c r="F29" s="17"/>
      <c r="G29" s="11"/>
      <c r="H29" s="11"/>
      <c r="I29" s="18" t="s">
        <v>17</v>
      </c>
      <c r="J29" s="19"/>
      <c r="K29" s="19">
        <f>100000*0.85</f>
        <v>85000</v>
      </c>
      <c r="L29" s="19">
        <f>400000*0.85</f>
        <v>340000</v>
      </c>
      <c r="M29" s="19">
        <f>2500000*0.85</f>
        <v>2125000</v>
      </c>
      <c r="N29" s="19"/>
      <c r="O29" s="19"/>
      <c r="P29" s="19"/>
      <c r="Q29" s="19">
        <f>SUM(J29:P29)</f>
        <v>2550000</v>
      </c>
    </row>
    <row r="30" spans="1:17" ht="27.75" customHeight="1">
      <c r="A30" s="8"/>
      <c r="B30" s="16"/>
      <c r="C30" s="9"/>
      <c r="D30" s="9"/>
      <c r="E30" s="9"/>
      <c r="F30" s="17"/>
      <c r="G30" s="11"/>
      <c r="H30" s="11"/>
      <c r="I30" s="20" t="s">
        <v>18</v>
      </c>
      <c r="J30" s="21">
        <f>J28+J29</f>
        <v>0</v>
      </c>
      <c r="K30" s="21">
        <f>K28+K29</f>
        <v>100000</v>
      </c>
      <c r="L30" s="21">
        <f>L28+L29</f>
        <v>400000</v>
      </c>
      <c r="M30" s="21">
        <f>M28+M29</f>
        <v>2500000</v>
      </c>
      <c r="N30" s="21"/>
      <c r="O30" s="21"/>
      <c r="P30" s="21"/>
      <c r="Q30" s="21">
        <f>SUM(J30:P30)</f>
        <v>3000000</v>
      </c>
    </row>
    <row r="31" spans="1:17" ht="27.75" customHeight="1">
      <c r="A31" s="8">
        <v>9</v>
      </c>
      <c r="B31" s="16" t="s">
        <v>31</v>
      </c>
      <c r="C31" s="9" t="s">
        <v>14</v>
      </c>
      <c r="D31" s="9" t="s">
        <v>32</v>
      </c>
      <c r="E31" s="9" t="s">
        <v>16</v>
      </c>
      <c r="F31" s="17">
        <f>SUM(J33:P33)</f>
        <v>4100000</v>
      </c>
      <c r="G31" s="11">
        <f>Q32/Q33</f>
        <v>0.8292682926829268</v>
      </c>
      <c r="H31" s="11">
        <f>Q31/Q33</f>
        <v>0.17073170731707318</v>
      </c>
      <c r="I31" s="18" t="s">
        <v>10</v>
      </c>
      <c r="J31" s="19"/>
      <c r="K31" s="23">
        <v>100000</v>
      </c>
      <c r="L31" s="19">
        <f>500000*0.15</f>
        <v>75000</v>
      </c>
      <c r="M31" s="19">
        <f>2000000*0.15</f>
        <v>300000</v>
      </c>
      <c r="N31" s="19">
        <f>1500000*0.15</f>
        <v>225000</v>
      </c>
      <c r="O31" s="19"/>
      <c r="P31" s="19"/>
      <c r="Q31" s="19">
        <f>SUM(J31:P31)</f>
        <v>700000</v>
      </c>
    </row>
    <row r="32" spans="1:17" ht="27.75" customHeight="1">
      <c r="A32" s="8"/>
      <c r="B32" s="16"/>
      <c r="C32" s="9"/>
      <c r="D32" s="9"/>
      <c r="E32" s="9"/>
      <c r="F32" s="17"/>
      <c r="G32" s="11"/>
      <c r="H32" s="11"/>
      <c r="I32" s="18" t="s">
        <v>17</v>
      </c>
      <c r="J32" s="19"/>
      <c r="K32" s="19"/>
      <c r="L32" s="19">
        <f>500000*0.85</f>
        <v>425000</v>
      </c>
      <c r="M32" s="19">
        <f>2000000*0.85</f>
        <v>1700000</v>
      </c>
      <c r="N32" s="19">
        <f>1500000*0.85</f>
        <v>1275000</v>
      </c>
      <c r="O32" s="19"/>
      <c r="P32" s="19"/>
      <c r="Q32" s="19">
        <f>SUM(J32:P32)</f>
        <v>3400000</v>
      </c>
    </row>
    <row r="33" spans="1:17" ht="27.75" customHeight="1">
      <c r="A33" s="8"/>
      <c r="B33" s="16"/>
      <c r="C33" s="9"/>
      <c r="D33" s="9"/>
      <c r="E33" s="9"/>
      <c r="F33" s="17"/>
      <c r="G33" s="11"/>
      <c r="H33" s="11"/>
      <c r="I33" s="20" t="s">
        <v>18</v>
      </c>
      <c r="J33" s="21">
        <f>J31+J32</f>
        <v>0</v>
      </c>
      <c r="K33" s="21">
        <f>K31+K32</f>
        <v>100000</v>
      </c>
      <c r="L33" s="21">
        <f>L31+L32</f>
        <v>500000</v>
      </c>
      <c r="M33" s="21">
        <f>M31+M32</f>
        <v>2000000</v>
      </c>
      <c r="N33" s="21">
        <f>N31+N32</f>
        <v>1500000</v>
      </c>
      <c r="O33" s="21"/>
      <c r="P33" s="21"/>
      <c r="Q33" s="21">
        <f>SUM(J33:P33)</f>
        <v>4100000</v>
      </c>
    </row>
    <row r="34" spans="1:17" ht="27.75" customHeight="1">
      <c r="A34" s="8">
        <v>10</v>
      </c>
      <c r="B34" s="16" t="s">
        <v>33</v>
      </c>
      <c r="C34" s="9" t="s">
        <v>14</v>
      </c>
      <c r="D34" s="9" t="s">
        <v>26</v>
      </c>
      <c r="E34" s="9" t="s">
        <v>16</v>
      </c>
      <c r="F34" s="17">
        <f>SUM(J36:P36)</f>
        <v>1075000</v>
      </c>
      <c r="G34" s="11">
        <f>Q35/Q36</f>
        <v>0.7906976744186046</v>
      </c>
      <c r="H34" s="11">
        <f>Q34/Q36</f>
        <v>0.20930232558139536</v>
      </c>
      <c r="I34" s="18" t="s">
        <v>10</v>
      </c>
      <c r="J34" s="19">
        <v>75000</v>
      </c>
      <c r="K34" s="19">
        <f>250000*0.15</f>
        <v>37500</v>
      </c>
      <c r="L34" s="19">
        <f>500000*0.15</f>
        <v>75000</v>
      </c>
      <c r="M34" s="19">
        <f>250000*0.15</f>
        <v>37500</v>
      </c>
      <c r="N34" s="19"/>
      <c r="O34" s="19"/>
      <c r="P34" s="19"/>
      <c r="Q34" s="19">
        <f>SUM(J34:P34)</f>
        <v>225000</v>
      </c>
    </row>
    <row r="35" spans="1:17" ht="27.75" customHeight="1">
      <c r="A35" s="8"/>
      <c r="B35" s="16"/>
      <c r="C35" s="9"/>
      <c r="D35" s="9"/>
      <c r="E35" s="9"/>
      <c r="F35" s="17"/>
      <c r="G35" s="11"/>
      <c r="H35" s="11"/>
      <c r="I35" s="18" t="s">
        <v>17</v>
      </c>
      <c r="J35" s="19"/>
      <c r="K35" s="19">
        <f>250000*0.85</f>
        <v>212500</v>
      </c>
      <c r="L35" s="19">
        <f>500000*0.85</f>
        <v>425000</v>
      </c>
      <c r="M35" s="19">
        <f>250000*0.85</f>
        <v>212500</v>
      </c>
      <c r="N35" s="19"/>
      <c r="O35" s="19"/>
      <c r="P35" s="19"/>
      <c r="Q35" s="19">
        <f>SUM(J35:P35)</f>
        <v>850000</v>
      </c>
    </row>
    <row r="36" spans="1:17" ht="27.75" customHeight="1">
      <c r="A36" s="8"/>
      <c r="B36" s="16"/>
      <c r="C36" s="9"/>
      <c r="D36" s="9"/>
      <c r="E36" s="9"/>
      <c r="F36" s="17"/>
      <c r="G36" s="11"/>
      <c r="H36" s="11"/>
      <c r="I36" s="20" t="s">
        <v>18</v>
      </c>
      <c r="J36" s="21">
        <f>J34+J35</f>
        <v>75000</v>
      </c>
      <c r="K36" s="21">
        <f>K34+K35</f>
        <v>250000</v>
      </c>
      <c r="L36" s="21">
        <f>L34+L35</f>
        <v>500000</v>
      </c>
      <c r="M36" s="21">
        <f>M34+M35</f>
        <v>250000</v>
      </c>
      <c r="N36" s="21"/>
      <c r="O36" s="21"/>
      <c r="P36" s="21"/>
      <c r="Q36" s="21">
        <f>SUM(J36:P36)</f>
        <v>1075000</v>
      </c>
    </row>
    <row r="37" spans="1:17" ht="27.75" customHeight="1">
      <c r="A37" s="8">
        <v>11</v>
      </c>
      <c r="B37" s="16" t="s">
        <v>34</v>
      </c>
      <c r="C37" s="9" t="s">
        <v>14</v>
      </c>
      <c r="D37" s="9" t="s">
        <v>26</v>
      </c>
      <c r="E37" s="9" t="s">
        <v>16</v>
      </c>
      <c r="F37" s="17">
        <f>SUM(J39:P39)</f>
        <v>2500000</v>
      </c>
      <c r="G37" s="11">
        <f>Q38/Q39</f>
        <v>0.765</v>
      </c>
      <c r="H37" s="11">
        <f>Q37/Q39</f>
        <v>0.235</v>
      </c>
      <c r="I37" s="18" t="s">
        <v>10</v>
      </c>
      <c r="J37" s="19">
        <v>150000</v>
      </c>
      <c r="K37" s="23">
        <v>100000</v>
      </c>
      <c r="L37" s="19">
        <f>250000*0.15</f>
        <v>37500</v>
      </c>
      <c r="M37" s="19">
        <f>1000000*0.15</f>
        <v>150000</v>
      </c>
      <c r="N37" s="19">
        <f>1000000*0.15</f>
        <v>150000</v>
      </c>
      <c r="O37" s="19"/>
      <c r="P37" s="19"/>
      <c r="Q37" s="19">
        <f>SUM(J37:P37)</f>
        <v>587500</v>
      </c>
    </row>
    <row r="38" spans="1:17" ht="27.75" customHeight="1">
      <c r="A38" s="8"/>
      <c r="B38" s="16"/>
      <c r="C38" s="9"/>
      <c r="D38" s="9"/>
      <c r="E38" s="9"/>
      <c r="F38" s="17"/>
      <c r="G38" s="11"/>
      <c r="H38" s="11"/>
      <c r="I38" s="18" t="s">
        <v>17</v>
      </c>
      <c r="J38" s="19"/>
      <c r="K38" s="19"/>
      <c r="L38" s="19">
        <f>250000*0.85</f>
        <v>212500</v>
      </c>
      <c r="M38" s="19">
        <f>1000000*0.85</f>
        <v>850000</v>
      </c>
      <c r="N38" s="19">
        <f>1000000*0.85</f>
        <v>850000</v>
      </c>
      <c r="O38" s="19"/>
      <c r="P38" s="19"/>
      <c r="Q38" s="19">
        <f>SUM(J38:P38)</f>
        <v>1912500</v>
      </c>
    </row>
    <row r="39" spans="1:17" ht="27.75" customHeight="1">
      <c r="A39" s="8"/>
      <c r="B39" s="16"/>
      <c r="C39" s="9"/>
      <c r="D39" s="9"/>
      <c r="E39" s="9"/>
      <c r="F39" s="17"/>
      <c r="G39" s="11"/>
      <c r="H39" s="11"/>
      <c r="I39" s="20" t="s">
        <v>18</v>
      </c>
      <c r="J39" s="21">
        <f>J37+J38</f>
        <v>150000</v>
      </c>
      <c r="K39" s="21">
        <f>K37+K38</f>
        <v>100000</v>
      </c>
      <c r="L39" s="21">
        <f>L37+L38</f>
        <v>250000</v>
      </c>
      <c r="M39" s="21">
        <f>M37+M38</f>
        <v>1000000</v>
      </c>
      <c r="N39" s="21">
        <f>N37+N38</f>
        <v>1000000</v>
      </c>
      <c r="O39" s="21"/>
      <c r="P39" s="21"/>
      <c r="Q39" s="21">
        <f>SUM(J39:P39)</f>
        <v>2500000</v>
      </c>
    </row>
    <row r="40" spans="1:17" ht="27.75" customHeight="1">
      <c r="A40" s="8">
        <v>12</v>
      </c>
      <c r="B40" s="24" t="s">
        <v>35</v>
      </c>
      <c r="C40" s="9" t="s">
        <v>14</v>
      </c>
      <c r="D40" s="9" t="s">
        <v>36</v>
      </c>
      <c r="E40" s="9" t="s">
        <v>16</v>
      </c>
      <c r="F40" s="17">
        <f>SUM(J42:P42)</f>
        <v>2525000</v>
      </c>
      <c r="G40" s="11">
        <f>Q41/Q42</f>
        <v>0.8415841584158416</v>
      </c>
      <c r="H40" s="11">
        <f>Q40/Q42</f>
        <v>0.15841584158415842</v>
      </c>
      <c r="I40" s="18" t="s">
        <v>10</v>
      </c>
      <c r="J40" s="19">
        <v>25000</v>
      </c>
      <c r="K40" s="19">
        <f>250000*0.15</f>
        <v>37500</v>
      </c>
      <c r="L40" s="19">
        <f>750000*0.15</f>
        <v>112500</v>
      </c>
      <c r="M40" s="19">
        <f>1500000*0.15</f>
        <v>225000</v>
      </c>
      <c r="N40" s="19"/>
      <c r="O40" s="19"/>
      <c r="P40" s="19"/>
      <c r="Q40" s="19">
        <f>SUM(J40:P40)</f>
        <v>400000</v>
      </c>
    </row>
    <row r="41" spans="1:17" ht="27.75" customHeight="1">
      <c r="A41" s="8"/>
      <c r="B41" s="24"/>
      <c r="C41" s="9"/>
      <c r="D41" s="9"/>
      <c r="E41" s="9"/>
      <c r="F41" s="17"/>
      <c r="G41" s="11"/>
      <c r="H41" s="11"/>
      <c r="I41" s="18" t="s">
        <v>17</v>
      </c>
      <c r="J41" s="19"/>
      <c r="K41" s="19">
        <f>250000*0.85</f>
        <v>212500</v>
      </c>
      <c r="L41" s="19">
        <f>750000*0.85</f>
        <v>637500</v>
      </c>
      <c r="M41" s="19">
        <f>1500000*0.85</f>
        <v>1275000</v>
      </c>
      <c r="N41" s="19"/>
      <c r="O41" s="19"/>
      <c r="P41" s="19"/>
      <c r="Q41" s="19">
        <f>SUM(J41:P41)</f>
        <v>2125000</v>
      </c>
    </row>
    <row r="42" spans="1:17" ht="27.75" customHeight="1">
      <c r="A42" s="8"/>
      <c r="B42" s="24"/>
      <c r="C42" s="9"/>
      <c r="D42" s="9"/>
      <c r="E42" s="9"/>
      <c r="F42" s="17"/>
      <c r="G42" s="11"/>
      <c r="H42" s="11"/>
      <c r="I42" s="20" t="s">
        <v>18</v>
      </c>
      <c r="J42" s="21">
        <f>J40+J41</f>
        <v>25000</v>
      </c>
      <c r="K42" s="21">
        <f>K40+K41</f>
        <v>250000</v>
      </c>
      <c r="L42" s="21">
        <f>L40+L41</f>
        <v>750000</v>
      </c>
      <c r="M42" s="21">
        <f>M40+M41</f>
        <v>1500000</v>
      </c>
      <c r="N42" s="21"/>
      <c r="O42" s="21"/>
      <c r="P42" s="21"/>
      <c r="Q42" s="21">
        <f>SUM(J42:P42)</f>
        <v>2525000</v>
      </c>
    </row>
    <row r="43" spans="1:17" s="30" customFormat="1" ht="27.75" customHeight="1">
      <c r="A43" s="25">
        <v>13</v>
      </c>
      <c r="B43" s="24" t="s">
        <v>37</v>
      </c>
      <c r="C43" s="26" t="s">
        <v>14</v>
      </c>
      <c r="D43" s="26" t="s">
        <v>38</v>
      </c>
      <c r="E43" s="26" t="s">
        <v>16</v>
      </c>
      <c r="F43" s="27">
        <f>SUM(J45:P45)</f>
        <v>1955000</v>
      </c>
      <c r="G43" s="28">
        <f>Q44/Q45</f>
        <v>0.6521739130434783</v>
      </c>
      <c r="H43" s="28">
        <f>Q43/Q45</f>
        <v>0.34782608695652173</v>
      </c>
      <c r="I43" s="29" t="s">
        <v>10</v>
      </c>
      <c r="J43" s="23">
        <v>455000</v>
      </c>
      <c r="K43" s="23">
        <f>100000*0.15</f>
        <v>15000</v>
      </c>
      <c r="L43" s="23">
        <f>1400000*0.15</f>
        <v>210000</v>
      </c>
      <c r="M43" s="23"/>
      <c r="N43" s="23"/>
      <c r="O43" s="23"/>
      <c r="P43" s="23"/>
      <c r="Q43" s="23">
        <f>SUM(J43:P43)</f>
        <v>680000</v>
      </c>
    </row>
    <row r="44" spans="1:17" s="30" customFormat="1" ht="27.75" customHeight="1">
      <c r="A44" s="25"/>
      <c r="B44" s="24"/>
      <c r="C44" s="26"/>
      <c r="D44" s="26"/>
      <c r="E44" s="26"/>
      <c r="F44" s="27"/>
      <c r="G44" s="28"/>
      <c r="H44" s="28"/>
      <c r="I44" s="29" t="s">
        <v>17</v>
      </c>
      <c r="J44" s="23"/>
      <c r="K44" s="23">
        <f>100000*0.85</f>
        <v>85000</v>
      </c>
      <c r="L44" s="23">
        <f>1400000*0.85</f>
        <v>1190000</v>
      </c>
      <c r="M44" s="23"/>
      <c r="N44" s="23"/>
      <c r="O44" s="23"/>
      <c r="P44" s="23"/>
      <c r="Q44" s="23">
        <f>SUM(J44:P44)</f>
        <v>1275000</v>
      </c>
    </row>
    <row r="45" spans="1:17" s="30" customFormat="1" ht="27.75" customHeight="1">
      <c r="A45" s="25"/>
      <c r="B45" s="24"/>
      <c r="C45" s="26"/>
      <c r="D45" s="26"/>
      <c r="E45" s="26"/>
      <c r="F45" s="27"/>
      <c r="G45" s="28"/>
      <c r="H45" s="28"/>
      <c r="I45" s="31" t="s">
        <v>18</v>
      </c>
      <c r="J45" s="32">
        <f>J43+J44</f>
        <v>455000</v>
      </c>
      <c r="K45" s="32">
        <f>K43+K44</f>
        <v>100000</v>
      </c>
      <c r="L45" s="32">
        <f>L43+L44</f>
        <v>1400000</v>
      </c>
      <c r="M45" s="32"/>
      <c r="N45" s="21"/>
      <c r="O45" s="21"/>
      <c r="P45" s="21"/>
      <c r="Q45" s="21">
        <f>SUM(J45:P45)</f>
        <v>1955000</v>
      </c>
    </row>
    <row r="46" spans="1:17" ht="27.75" customHeight="1">
      <c r="A46" s="8">
        <v>14</v>
      </c>
      <c r="B46" s="16" t="s">
        <v>39</v>
      </c>
      <c r="C46" s="9" t="s">
        <v>40</v>
      </c>
      <c r="D46" s="9" t="s">
        <v>41</v>
      </c>
      <c r="E46" s="9" t="s">
        <v>42</v>
      </c>
      <c r="F46" s="17">
        <f>SUM(J48:P48)</f>
        <v>2500000</v>
      </c>
      <c r="G46" s="11">
        <f>Q47/Q48</f>
        <v>0.988</v>
      </c>
      <c r="H46" s="11">
        <f>Q46/Q48</f>
        <v>0.012</v>
      </c>
      <c r="I46" s="18" t="s">
        <v>10</v>
      </c>
      <c r="J46" s="19"/>
      <c r="K46" s="19">
        <v>10000</v>
      </c>
      <c r="L46" s="19">
        <v>10000</v>
      </c>
      <c r="M46" s="19">
        <v>10000</v>
      </c>
      <c r="N46" s="19"/>
      <c r="O46" s="19"/>
      <c r="P46" s="19"/>
      <c r="Q46" s="19">
        <f>SUM(J46:P46)</f>
        <v>30000</v>
      </c>
    </row>
    <row r="47" spans="1:17" ht="27.75" customHeight="1">
      <c r="A47" s="8"/>
      <c r="B47" s="16"/>
      <c r="C47" s="9"/>
      <c r="D47" s="9"/>
      <c r="E47" s="9"/>
      <c r="F47" s="17"/>
      <c r="G47" s="11"/>
      <c r="H47" s="11"/>
      <c r="I47" s="18" t="s">
        <v>17</v>
      </c>
      <c r="J47" s="19"/>
      <c r="K47" s="19">
        <f>500000-K46</f>
        <v>490000</v>
      </c>
      <c r="L47" s="19">
        <f>1000000-L46</f>
        <v>990000</v>
      </c>
      <c r="M47" s="19">
        <f>1000000-M46</f>
        <v>990000</v>
      </c>
      <c r="N47" s="19"/>
      <c r="O47" s="19"/>
      <c r="P47" s="19"/>
      <c r="Q47" s="19">
        <f>SUM(J47:P47)</f>
        <v>2470000</v>
      </c>
    </row>
    <row r="48" spans="1:17" ht="27.75" customHeight="1">
      <c r="A48" s="8"/>
      <c r="B48" s="16"/>
      <c r="C48" s="9"/>
      <c r="D48" s="9"/>
      <c r="E48" s="9"/>
      <c r="F48" s="17"/>
      <c r="G48" s="11"/>
      <c r="H48" s="11"/>
      <c r="I48" s="20" t="s">
        <v>18</v>
      </c>
      <c r="J48" s="21">
        <f>J46+J47</f>
        <v>0</v>
      </c>
      <c r="K48" s="21">
        <f>K46+K47</f>
        <v>500000</v>
      </c>
      <c r="L48" s="21">
        <f>L46+L47</f>
        <v>1000000</v>
      </c>
      <c r="M48" s="21">
        <f>M46+M47</f>
        <v>1000000</v>
      </c>
      <c r="N48" s="21"/>
      <c r="O48" s="21"/>
      <c r="P48" s="21"/>
      <c r="Q48" s="21">
        <f>SUM(J48:P48)</f>
        <v>2500000</v>
      </c>
    </row>
    <row r="49" spans="1:17" s="4" customFormat="1" ht="27.75" customHeight="1">
      <c r="A49" s="33"/>
      <c r="B49" s="34" t="s">
        <v>43</v>
      </c>
      <c r="C49" s="35"/>
      <c r="D49" s="35"/>
      <c r="E49" s="35"/>
      <c r="F49" s="36"/>
      <c r="G49" s="37"/>
      <c r="H49" s="37"/>
      <c r="I49" s="38" t="s">
        <v>10</v>
      </c>
      <c r="J49" s="39">
        <f>J7+J10+J13+J16+J19+J22+J25+J28+J31+J34+J37+J40+J46+J43</f>
        <v>1090000</v>
      </c>
      <c r="K49" s="39">
        <f>K7+K10+K13+K16+K19+K22+K25+K28+K31+K34+K37+K40+K46+K43</f>
        <v>662500</v>
      </c>
      <c r="L49" s="39">
        <f>L7+L10+L13+L16+L19+L22+L25+L28+L31+L34+L37+L40+L46+L43</f>
        <v>4986250</v>
      </c>
      <c r="M49" s="39">
        <f>M7+M10+M13+M16+M19+M22+M25+M28+M31+M34+M37+M40+M46+M43</f>
        <v>3906250</v>
      </c>
      <c r="N49" s="39">
        <f>N7+N10+N13+N16+N19+N22+N25+N28+N31+N34+N37+N40+N46+N43</f>
        <v>1987500</v>
      </c>
      <c r="O49" s="39"/>
      <c r="P49" s="39"/>
      <c r="Q49" s="39">
        <f>Q7+Q10+Q13+Q16+Q19+Q22+Q25+Q28+Q31+Q34+Q37+Q40+Q46+Q43</f>
        <v>12632500</v>
      </c>
    </row>
    <row r="50" spans="1:17" s="4" customFormat="1" ht="27.75" customHeight="1">
      <c r="A50" s="33"/>
      <c r="B50" s="34"/>
      <c r="C50" s="35"/>
      <c r="D50" s="35"/>
      <c r="E50" s="35"/>
      <c r="F50" s="36"/>
      <c r="G50" s="37"/>
      <c r="H50" s="37"/>
      <c r="I50" s="38" t="s">
        <v>17</v>
      </c>
      <c r="J50" s="39">
        <f>J8+J11+J14+J17+J20+J23+J26+J29+J32+J35+J38+J41+J47+J44</f>
        <v>0</v>
      </c>
      <c r="K50" s="39">
        <f>K8+K11+K14+K17+K20+K23+K26+K29+K32+K35+K38+K41+K47+K44</f>
        <v>2487500</v>
      </c>
      <c r="L50" s="39">
        <f>L8+L11+L14+L17+L20+L23+L26+L29+L32+L35+L38+L41+L47+L44</f>
        <v>29188750</v>
      </c>
      <c r="M50" s="39">
        <f>M8+M11+M14+M17+M20+M23+M26+M29+M32+M35+M38+M41+M47+M44</f>
        <v>23068750</v>
      </c>
      <c r="N50" s="39">
        <f>N8+N11+N14+N17+N20+N23+N26+N29+N32+N35+N38+N41+N47+N44</f>
        <v>11262500</v>
      </c>
      <c r="O50" s="39"/>
      <c r="P50" s="39"/>
      <c r="Q50" s="39">
        <f>Q8+Q11+Q14+Q17+Q20+Q23+Q26+Q29+Q32+Q35+Q38+Q41+Q47+Q44</f>
        <v>66007500</v>
      </c>
    </row>
    <row r="51" spans="1:17" s="4" customFormat="1" ht="27.75" customHeight="1">
      <c r="A51" s="33"/>
      <c r="B51" s="34"/>
      <c r="C51" s="35"/>
      <c r="D51" s="35"/>
      <c r="E51" s="35"/>
      <c r="F51" s="36"/>
      <c r="G51" s="37"/>
      <c r="H51" s="37"/>
      <c r="I51" s="40" t="s">
        <v>18</v>
      </c>
      <c r="J51" s="41">
        <f>J49+J50</f>
        <v>1090000</v>
      </c>
      <c r="K51" s="41">
        <f>K49+K50</f>
        <v>3150000</v>
      </c>
      <c r="L51" s="41">
        <f>L49+L50</f>
        <v>34175000</v>
      </c>
      <c r="M51" s="41">
        <f>M49+M50</f>
        <v>26975000</v>
      </c>
      <c r="N51" s="41">
        <f>N49+N50</f>
        <v>13250000</v>
      </c>
      <c r="O51" s="41"/>
      <c r="P51" s="41"/>
      <c r="Q51" s="41">
        <f>SUM(J51:P51)</f>
        <v>78640000</v>
      </c>
    </row>
  </sheetData>
  <mergeCells count="13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P5"/>
    <mergeCell ref="Q5:Q6"/>
    <mergeCell ref="A7:A9"/>
    <mergeCell ref="B7:B9"/>
    <mergeCell ref="C7:C9"/>
    <mergeCell ref="D7:D9"/>
    <mergeCell ref="E7:E9"/>
    <mergeCell ref="F7:F9"/>
    <mergeCell ref="G7:G9"/>
    <mergeCell ref="H7:H9"/>
    <mergeCell ref="A10:A12"/>
    <mergeCell ref="B10:B12"/>
    <mergeCell ref="C10:C12"/>
    <mergeCell ref="D10:D12"/>
    <mergeCell ref="E10:E12"/>
    <mergeCell ref="F10:F12"/>
    <mergeCell ref="G10:G12"/>
    <mergeCell ref="H10:H12"/>
    <mergeCell ref="A13:A15"/>
    <mergeCell ref="B13:B15"/>
    <mergeCell ref="C13:C15"/>
    <mergeCell ref="D13:D15"/>
    <mergeCell ref="E13:E15"/>
    <mergeCell ref="F13:F15"/>
    <mergeCell ref="G13:G15"/>
    <mergeCell ref="H13:H15"/>
    <mergeCell ref="A16:A18"/>
    <mergeCell ref="B16:B18"/>
    <mergeCell ref="C16:C18"/>
    <mergeCell ref="D16:D18"/>
    <mergeCell ref="E16:E18"/>
    <mergeCell ref="F16:F18"/>
    <mergeCell ref="G16:G18"/>
    <mergeCell ref="H16:H18"/>
    <mergeCell ref="A19:A21"/>
    <mergeCell ref="B19:B21"/>
    <mergeCell ref="C19:C21"/>
    <mergeCell ref="D19:D21"/>
    <mergeCell ref="E19:E21"/>
    <mergeCell ref="F19:F21"/>
    <mergeCell ref="G19:G21"/>
    <mergeCell ref="H19:H21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28:A30"/>
    <mergeCell ref="B28:B30"/>
    <mergeCell ref="C28:C30"/>
    <mergeCell ref="D28:D30"/>
    <mergeCell ref="E28:E30"/>
    <mergeCell ref="F28:F30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34:A36"/>
    <mergeCell ref="B34:B36"/>
    <mergeCell ref="C34:C36"/>
    <mergeCell ref="D34:D36"/>
    <mergeCell ref="E34:E36"/>
    <mergeCell ref="F34:F36"/>
    <mergeCell ref="G34:G36"/>
    <mergeCell ref="H34:H36"/>
    <mergeCell ref="A37:A39"/>
    <mergeCell ref="B37:B39"/>
    <mergeCell ref="C37:C39"/>
    <mergeCell ref="D37:D39"/>
    <mergeCell ref="E37:E39"/>
    <mergeCell ref="F37:F39"/>
    <mergeCell ref="G37:G39"/>
    <mergeCell ref="H37:H39"/>
    <mergeCell ref="A40:A42"/>
    <mergeCell ref="B40:B42"/>
    <mergeCell ref="C40:C42"/>
    <mergeCell ref="D40:D42"/>
    <mergeCell ref="E40:E42"/>
    <mergeCell ref="F40:F42"/>
    <mergeCell ref="G40:G42"/>
    <mergeCell ref="H40:H42"/>
    <mergeCell ref="A43:A45"/>
    <mergeCell ref="B43:B45"/>
    <mergeCell ref="C43:C45"/>
    <mergeCell ref="D43:D45"/>
    <mergeCell ref="E43:E45"/>
    <mergeCell ref="F43:F45"/>
    <mergeCell ref="G43:G45"/>
    <mergeCell ref="H43:H45"/>
    <mergeCell ref="A46:A48"/>
    <mergeCell ref="B46:B48"/>
    <mergeCell ref="C46:C48"/>
    <mergeCell ref="D46:D48"/>
    <mergeCell ref="E46:E48"/>
    <mergeCell ref="F46:F48"/>
    <mergeCell ref="G46:G48"/>
    <mergeCell ref="H46:H48"/>
    <mergeCell ref="A49:A51"/>
    <mergeCell ref="B49:B51"/>
    <mergeCell ref="C49:C51"/>
    <mergeCell ref="D49:D51"/>
    <mergeCell ref="E49:E51"/>
    <mergeCell ref="F49:F51"/>
    <mergeCell ref="G49:G51"/>
    <mergeCell ref="H49:H5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C7" sqref="C7"/>
    </sheetView>
  </sheetViews>
  <sheetFormatPr defaultColWidth="12.57421875" defaultRowHeight="12.75"/>
  <cols>
    <col min="1" max="1" width="2.8515625" style="0" customWidth="1"/>
    <col min="2" max="2" width="21.421875" style="1" customWidth="1"/>
    <col min="3" max="3" width="14.28125" style="1" customWidth="1"/>
    <col min="4" max="4" width="15.28125" style="1" customWidth="1"/>
    <col min="5" max="5" width="7.00390625" style="1" customWidth="1"/>
    <col min="6" max="6" width="9.8515625" style="2" customWidth="1"/>
    <col min="7" max="7" width="6.8515625" style="3" customWidth="1"/>
    <col min="8" max="8" width="6.28125" style="3" customWidth="1"/>
    <col min="9" max="9" width="9.421875" style="1" customWidth="1"/>
    <col min="10" max="10" width="8.421875" style="0" customWidth="1"/>
    <col min="11" max="17" width="8.57421875" style="2" customWidth="1"/>
    <col min="18" max="16384" width="11.57421875" style="0" customWidth="1"/>
  </cols>
  <sheetData>
    <row r="1" spans="1:4" ht="12.75">
      <c r="A1" s="4" t="s">
        <v>44</v>
      </c>
      <c r="B1" s="5"/>
      <c r="C1" s="5"/>
      <c r="D1" s="5"/>
    </row>
    <row r="3" spans="1:7" ht="12.75">
      <c r="A3" s="4"/>
      <c r="F3" s="6"/>
      <c r="G3" s="7"/>
    </row>
    <row r="5" spans="1:29" ht="35.2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1" t="s">
        <v>8</v>
      </c>
      <c r="H5" s="11" t="s">
        <v>9</v>
      </c>
      <c r="I5" s="9" t="s">
        <v>10</v>
      </c>
      <c r="J5" s="12" t="s">
        <v>11</v>
      </c>
      <c r="K5" s="15"/>
      <c r="L5" s="15"/>
      <c r="M5" s="15"/>
      <c r="N5" s="15"/>
      <c r="O5" s="15"/>
      <c r="P5" s="15"/>
      <c r="Q5" s="13" t="s">
        <v>12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17" ht="12.75">
      <c r="A6" s="8"/>
      <c r="B6" s="42"/>
      <c r="C6" s="42"/>
      <c r="D6" s="42"/>
      <c r="E6" s="42"/>
      <c r="F6" s="43"/>
      <c r="G6" s="44"/>
      <c r="H6" s="44"/>
      <c r="I6" s="42"/>
      <c r="J6" s="12">
        <v>2007</v>
      </c>
      <c r="K6" s="15">
        <v>2008</v>
      </c>
      <c r="L6" s="15">
        <v>2009</v>
      </c>
      <c r="M6" s="15">
        <v>2010</v>
      </c>
      <c r="N6" s="15">
        <v>2011</v>
      </c>
      <c r="O6" s="15">
        <v>2012</v>
      </c>
      <c r="P6" s="15">
        <v>2013</v>
      </c>
      <c r="Q6" s="15"/>
    </row>
    <row r="7" spans="1:17" ht="27.75" customHeight="1">
      <c r="A7" s="8">
        <v>1</v>
      </c>
      <c r="B7" s="16" t="s">
        <v>45</v>
      </c>
      <c r="C7" s="9"/>
      <c r="D7" s="9"/>
      <c r="E7" s="9"/>
      <c r="F7" s="17">
        <f>SUM(J9:P9)</f>
        <v>1425000</v>
      </c>
      <c r="G7" s="11"/>
      <c r="H7" s="11"/>
      <c r="I7" s="18" t="s">
        <v>10</v>
      </c>
      <c r="J7" s="19">
        <v>25000</v>
      </c>
      <c r="K7" s="19">
        <f>100000*0.15</f>
        <v>15000</v>
      </c>
      <c r="L7" s="19">
        <f>1300000*0.15</f>
        <v>195000</v>
      </c>
      <c r="M7" s="19"/>
      <c r="N7" s="19"/>
      <c r="O7" s="19"/>
      <c r="P7" s="19"/>
      <c r="Q7" s="19">
        <f>SUM(J7:P7)</f>
        <v>235000</v>
      </c>
    </row>
    <row r="8" spans="1:17" ht="27.75" customHeight="1">
      <c r="A8" s="8"/>
      <c r="B8" s="16"/>
      <c r="C8" s="9"/>
      <c r="D8" s="9"/>
      <c r="E8" s="9"/>
      <c r="F8" s="17"/>
      <c r="G8" s="11"/>
      <c r="H8" s="11"/>
      <c r="I8" s="18" t="s">
        <v>17</v>
      </c>
      <c r="J8" s="19"/>
      <c r="K8" s="19">
        <f>100000*0.85</f>
        <v>85000</v>
      </c>
      <c r="L8" s="19">
        <f>1300000*0.85</f>
        <v>1105000</v>
      </c>
      <c r="M8" s="19"/>
      <c r="N8" s="19"/>
      <c r="O8" s="19"/>
      <c r="P8" s="19"/>
      <c r="Q8" s="19">
        <f>SUM(J8:P8)</f>
        <v>1190000</v>
      </c>
    </row>
    <row r="9" spans="1:17" ht="27.75" customHeight="1">
      <c r="A9" s="8"/>
      <c r="B9" s="16"/>
      <c r="C9" s="9"/>
      <c r="D9" s="9"/>
      <c r="E9" s="9"/>
      <c r="F9" s="17"/>
      <c r="G9" s="11"/>
      <c r="H9" s="11"/>
      <c r="I9" s="20" t="s">
        <v>18</v>
      </c>
      <c r="J9" s="21">
        <f>J7+J8</f>
        <v>25000</v>
      </c>
      <c r="K9" s="21">
        <f>K7+K8</f>
        <v>100000</v>
      </c>
      <c r="L9" s="21">
        <f>L7+L8</f>
        <v>1300000</v>
      </c>
      <c r="M9" s="21"/>
      <c r="N9" s="21"/>
      <c r="O9" s="21"/>
      <c r="P9" s="21"/>
      <c r="Q9" s="21">
        <f>SUM(J9:P9)</f>
        <v>1425000</v>
      </c>
    </row>
    <row r="10" spans="1:17" ht="27.75" customHeight="1">
      <c r="A10" s="8">
        <v>2</v>
      </c>
      <c r="B10" s="16" t="s">
        <v>46</v>
      </c>
      <c r="C10" s="9"/>
      <c r="D10" s="9"/>
      <c r="E10" s="9"/>
      <c r="F10" s="17">
        <f>SUM(J12:P12)</f>
        <v>1650000</v>
      </c>
      <c r="G10" s="11"/>
      <c r="H10" s="11"/>
      <c r="I10" s="18" t="s">
        <v>10</v>
      </c>
      <c r="J10" s="19">
        <f>50000</f>
        <v>50000</v>
      </c>
      <c r="K10" s="19">
        <f>100000*0.15</f>
        <v>15000</v>
      </c>
      <c r="L10" s="19">
        <f>1500000*0.15</f>
        <v>225000</v>
      </c>
      <c r="M10" s="19"/>
      <c r="N10" s="19"/>
      <c r="O10" s="19"/>
      <c r="P10" s="19"/>
      <c r="Q10" s="19">
        <f>SUM(J10:P10)</f>
        <v>290000</v>
      </c>
    </row>
    <row r="11" spans="1:17" ht="27.75" customHeight="1">
      <c r="A11" s="8"/>
      <c r="B11" s="16"/>
      <c r="C11" s="9"/>
      <c r="D11" s="9"/>
      <c r="E11" s="9"/>
      <c r="F11" s="17"/>
      <c r="G11" s="11"/>
      <c r="H11" s="11"/>
      <c r="I11" s="18" t="s">
        <v>17</v>
      </c>
      <c r="J11" s="19"/>
      <c r="K11" s="19">
        <f>100000*0.85</f>
        <v>85000</v>
      </c>
      <c r="L11" s="19">
        <f>1500000*0.85</f>
        <v>1275000</v>
      </c>
      <c r="M11" s="19"/>
      <c r="N11" s="19"/>
      <c r="O11" s="19"/>
      <c r="P11" s="19"/>
      <c r="Q11" s="19">
        <f>SUM(J11:P11)</f>
        <v>1360000</v>
      </c>
    </row>
    <row r="12" spans="1:17" ht="27.75" customHeight="1">
      <c r="A12" s="8"/>
      <c r="B12" s="16"/>
      <c r="C12" s="9"/>
      <c r="D12" s="9"/>
      <c r="E12" s="9"/>
      <c r="F12" s="17"/>
      <c r="G12" s="11"/>
      <c r="H12" s="11"/>
      <c r="I12" s="20" t="s">
        <v>18</v>
      </c>
      <c r="J12" s="21">
        <f>J10+J11</f>
        <v>50000</v>
      </c>
      <c r="K12" s="21">
        <f>K10+K11</f>
        <v>100000</v>
      </c>
      <c r="L12" s="21">
        <f>L10+L11</f>
        <v>1500000</v>
      </c>
      <c r="M12" s="21"/>
      <c r="N12" s="21"/>
      <c r="O12" s="21"/>
      <c r="P12" s="21"/>
      <c r="Q12" s="21">
        <f>SUM(J12:P12)</f>
        <v>1650000</v>
      </c>
    </row>
    <row r="13" spans="1:17" ht="27.75" customHeight="1">
      <c r="A13" s="8">
        <v>3</v>
      </c>
      <c r="B13" s="16" t="s">
        <v>47</v>
      </c>
      <c r="C13" s="9"/>
      <c r="D13" s="9"/>
      <c r="E13" s="9"/>
      <c r="F13" s="17">
        <f>SUM(J15:P15)</f>
        <v>5060000</v>
      </c>
      <c r="G13" s="11"/>
      <c r="H13" s="11"/>
      <c r="I13" s="18" t="s">
        <v>10</v>
      </c>
      <c r="J13" s="19">
        <v>60000</v>
      </c>
      <c r="K13" s="19"/>
      <c r="L13" s="19">
        <f>250000*0.15</f>
        <v>37500</v>
      </c>
      <c r="M13" s="19">
        <f>4750000*0.15</f>
        <v>712500</v>
      </c>
      <c r="N13" s="19"/>
      <c r="O13" s="19"/>
      <c r="P13" s="19"/>
      <c r="Q13" s="19">
        <f>SUM(J13:P13)</f>
        <v>810000</v>
      </c>
    </row>
    <row r="14" spans="1:17" ht="27.75" customHeight="1">
      <c r="A14" s="8"/>
      <c r="B14" s="16"/>
      <c r="C14" s="9"/>
      <c r="D14" s="9"/>
      <c r="E14" s="9"/>
      <c r="F14" s="17"/>
      <c r="G14" s="11"/>
      <c r="H14" s="11"/>
      <c r="I14" s="18" t="s">
        <v>17</v>
      </c>
      <c r="J14" s="19"/>
      <c r="K14" s="19"/>
      <c r="L14" s="19">
        <f>250000*0.85</f>
        <v>212500</v>
      </c>
      <c r="M14" s="19">
        <f>4750000*0.85</f>
        <v>4037500</v>
      </c>
      <c r="N14" s="19"/>
      <c r="O14" s="19"/>
      <c r="P14" s="19"/>
      <c r="Q14" s="19">
        <f>SUM(J14:P14)</f>
        <v>4250000</v>
      </c>
    </row>
    <row r="15" spans="1:17" ht="27.75" customHeight="1">
      <c r="A15" s="8"/>
      <c r="B15" s="16"/>
      <c r="C15" s="9"/>
      <c r="D15" s="9"/>
      <c r="E15" s="9"/>
      <c r="F15" s="17"/>
      <c r="G15" s="11"/>
      <c r="H15" s="11"/>
      <c r="I15" s="20" t="s">
        <v>18</v>
      </c>
      <c r="J15" s="21">
        <f>J13+J14</f>
        <v>60000</v>
      </c>
      <c r="K15" s="21">
        <f>K13+K14</f>
        <v>0</v>
      </c>
      <c r="L15" s="21">
        <f>L13+L14</f>
        <v>250000</v>
      </c>
      <c r="M15" s="21">
        <f>M13+M14</f>
        <v>4750000</v>
      </c>
      <c r="N15" s="21"/>
      <c r="O15" s="21"/>
      <c r="P15" s="21"/>
      <c r="Q15" s="21">
        <f>SUM(J15:P15)</f>
        <v>5060000</v>
      </c>
    </row>
    <row r="16" spans="1:17" ht="27.75" customHeight="1">
      <c r="A16" s="8">
        <v>4</v>
      </c>
      <c r="B16" s="16" t="s">
        <v>48</v>
      </c>
      <c r="C16" s="9"/>
      <c r="D16" s="9"/>
      <c r="E16" s="9"/>
      <c r="F16" s="17">
        <f>SUM(J18:P18)</f>
        <v>1040000</v>
      </c>
      <c r="G16" s="11"/>
      <c r="H16" s="11"/>
      <c r="I16" s="18" t="s">
        <v>10</v>
      </c>
      <c r="J16" s="19">
        <v>40000</v>
      </c>
      <c r="K16" s="19">
        <f>25000*0.15</f>
        <v>3750</v>
      </c>
      <c r="L16" s="19">
        <f>975000*0.15</f>
        <v>146250</v>
      </c>
      <c r="M16" s="19"/>
      <c r="N16" s="19"/>
      <c r="O16" s="19"/>
      <c r="P16" s="19"/>
      <c r="Q16" s="19">
        <f>SUM(J16:P16)</f>
        <v>190000</v>
      </c>
    </row>
    <row r="17" spans="1:17" ht="27.75" customHeight="1">
      <c r="A17" s="8"/>
      <c r="B17" s="16"/>
      <c r="C17" s="9"/>
      <c r="D17" s="9"/>
      <c r="E17" s="9"/>
      <c r="F17" s="17"/>
      <c r="G17" s="11"/>
      <c r="H17" s="11"/>
      <c r="I17" s="18" t="s">
        <v>17</v>
      </c>
      <c r="J17" s="19"/>
      <c r="K17" s="19">
        <f>25000*0.85</f>
        <v>21250</v>
      </c>
      <c r="L17" s="19">
        <f>975000*0.85</f>
        <v>828750</v>
      </c>
      <c r="M17" s="19"/>
      <c r="N17" s="19"/>
      <c r="O17" s="19"/>
      <c r="P17" s="19"/>
      <c r="Q17" s="19">
        <f>SUM(J17:P17)</f>
        <v>850000</v>
      </c>
    </row>
    <row r="18" spans="1:17" ht="27.75" customHeight="1">
      <c r="A18" s="8"/>
      <c r="B18" s="16"/>
      <c r="C18" s="9"/>
      <c r="D18" s="9"/>
      <c r="E18" s="9"/>
      <c r="F18" s="17"/>
      <c r="G18" s="11"/>
      <c r="H18" s="11"/>
      <c r="I18" s="20" t="s">
        <v>18</v>
      </c>
      <c r="J18" s="21">
        <f>J16+J17</f>
        <v>40000</v>
      </c>
      <c r="K18" s="21">
        <f>K16+K17</f>
        <v>25000</v>
      </c>
      <c r="L18" s="21">
        <f>L16+L17</f>
        <v>975000</v>
      </c>
      <c r="M18" s="21"/>
      <c r="N18" s="21"/>
      <c r="O18" s="21"/>
      <c r="P18" s="21"/>
      <c r="Q18" s="21">
        <f>SUM(J18:P18)</f>
        <v>1040000</v>
      </c>
    </row>
    <row r="19" spans="1:17" ht="27.75" customHeight="1">
      <c r="A19" s="8">
        <v>5</v>
      </c>
      <c r="B19" s="16" t="s">
        <v>49</v>
      </c>
      <c r="C19" s="9"/>
      <c r="D19" s="9"/>
      <c r="E19" s="9"/>
      <c r="F19" s="17">
        <f>SUM(J21:P21)</f>
        <v>750000</v>
      </c>
      <c r="G19" s="11"/>
      <c r="H19" s="11"/>
      <c r="I19" s="18" t="s">
        <v>10</v>
      </c>
      <c r="J19" s="19">
        <v>0</v>
      </c>
      <c r="K19" s="19">
        <f>50000*0.15</f>
        <v>7500</v>
      </c>
      <c r="L19" s="19">
        <f>700000*0.15</f>
        <v>105000</v>
      </c>
      <c r="M19" s="19"/>
      <c r="N19" s="19"/>
      <c r="O19" s="19"/>
      <c r="P19" s="19"/>
      <c r="Q19" s="19">
        <f>SUM(J19:P19)</f>
        <v>112500</v>
      </c>
    </row>
    <row r="20" spans="1:17" ht="27.75" customHeight="1">
      <c r="A20" s="8"/>
      <c r="B20" s="16"/>
      <c r="C20" s="9"/>
      <c r="D20" s="9"/>
      <c r="E20" s="9"/>
      <c r="F20" s="17"/>
      <c r="G20" s="11"/>
      <c r="H20" s="11"/>
      <c r="I20" s="18" t="s">
        <v>17</v>
      </c>
      <c r="J20" s="19"/>
      <c r="K20" s="19">
        <f>50000*0.85</f>
        <v>42500</v>
      </c>
      <c r="L20" s="19">
        <f>700000*0.85</f>
        <v>595000</v>
      </c>
      <c r="M20" s="19"/>
      <c r="N20" s="19"/>
      <c r="O20" s="19"/>
      <c r="P20" s="19"/>
      <c r="Q20" s="19">
        <f>SUM(J20:P20)</f>
        <v>637500</v>
      </c>
    </row>
    <row r="21" spans="1:17" ht="27.75" customHeight="1">
      <c r="A21" s="8"/>
      <c r="B21" s="16"/>
      <c r="C21" s="9"/>
      <c r="D21" s="9"/>
      <c r="E21" s="9"/>
      <c r="F21" s="17"/>
      <c r="G21" s="11"/>
      <c r="H21" s="11"/>
      <c r="I21" s="20" t="s">
        <v>18</v>
      </c>
      <c r="J21" s="21">
        <f>J19+J20</f>
        <v>0</v>
      </c>
      <c r="K21" s="21">
        <f>K19+K20</f>
        <v>50000</v>
      </c>
      <c r="L21" s="21">
        <f>L19+L20</f>
        <v>700000</v>
      </c>
      <c r="M21" s="21">
        <f>M19+M20</f>
        <v>0</v>
      </c>
      <c r="N21" s="21">
        <f>N19+N20</f>
        <v>0</v>
      </c>
      <c r="O21" s="21">
        <f>O19+O20</f>
        <v>0</v>
      </c>
      <c r="P21" s="21">
        <f>P19+P20</f>
        <v>0</v>
      </c>
      <c r="Q21" s="21">
        <f>SUM(J21:P21)</f>
        <v>750000</v>
      </c>
    </row>
    <row r="22" spans="1:17" ht="27.75" customHeight="1">
      <c r="A22" s="8">
        <v>6</v>
      </c>
      <c r="B22" s="16" t="s">
        <v>50</v>
      </c>
      <c r="C22" s="9"/>
      <c r="D22" s="9"/>
      <c r="E22" s="9"/>
      <c r="F22" s="17">
        <f>SUM(J24:P24)</f>
        <v>825000</v>
      </c>
      <c r="G22" s="11"/>
      <c r="H22" s="11"/>
      <c r="I22" s="18" t="s">
        <v>10</v>
      </c>
      <c r="J22" s="19">
        <v>25000</v>
      </c>
      <c r="K22" s="19">
        <f>50000*0.15</f>
        <v>7500</v>
      </c>
      <c r="L22" s="19">
        <f>750000*0.15</f>
        <v>112500</v>
      </c>
      <c r="M22" s="19"/>
      <c r="N22" s="19"/>
      <c r="O22" s="19"/>
      <c r="P22" s="19"/>
      <c r="Q22" s="19">
        <f>SUM(J22:P22)</f>
        <v>145000</v>
      </c>
    </row>
    <row r="23" spans="1:17" ht="27.75" customHeight="1">
      <c r="A23" s="8"/>
      <c r="B23" s="16"/>
      <c r="C23" s="9"/>
      <c r="D23" s="9"/>
      <c r="E23" s="9"/>
      <c r="F23" s="17"/>
      <c r="G23" s="11"/>
      <c r="H23" s="11"/>
      <c r="I23" s="18" t="s">
        <v>17</v>
      </c>
      <c r="J23" s="19"/>
      <c r="K23" s="19">
        <f>50000*0.85</f>
        <v>42500</v>
      </c>
      <c r="L23" s="19">
        <f>750000*0.85</f>
        <v>637500</v>
      </c>
      <c r="M23" s="19"/>
      <c r="N23" s="19"/>
      <c r="O23" s="19"/>
      <c r="P23" s="19"/>
      <c r="Q23" s="19">
        <f>SUM(J23:P23)</f>
        <v>680000</v>
      </c>
    </row>
    <row r="24" spans="1:17" ht="27.75" customHeight="1">
      <c r="A24" s="8"/>
      <c r="B24" s="16"/>
      <c r="C24" s="9"/>
      <c r="D24" s="9"/>
      <c r="E24" s="9"/>
      <c r="F24" s="17"/>
      <c r="G24" s="11"/>
      <c r="H24" s="11"/>
      <c r="I24" s="20" t="s">
        <v>18</v>
      </c>
      <c r="J24" s="21">
        <f>J22+J23</f>
        <v>25000</v>
      </c>
      <c r="K24" s="21">
        <f>K22+K23</f>
        <v>50000</v>
      </c>
      <c r="L24" s="21">
        <f>L22+L23</f>
        <v>750000</v>
      </c>
      <c r="M24" s="21"/>
      <c r="N24" s="21"/>
      <c r="O24" s="21"/>
      <c r="P24" s="21"/>
      <c r="Q24" s="21">
        <f>SUM(J24:P24)</f>
        <v>825000</v>
      </c>
    </row>
    <row r="25" spans="1:17" s="52" customFormat="1" ht="27.75" customHeight="1">
      <c r="A25" s="45">
        <v>7</v>
      </c>
      <c r="B25" s="46" t="s">
        <v>51</v>
      </c>
      <c r="C25" s="47"/>
      <c r="D25" s="47"/>
      <c r="E25" s="47"/>
      <c r="F25" s="48">
        <f>F7+F10+F13+F16+F19+F22</f>
        <v>10750000</v>
      </c>
      <c r="G25" s="49"/>
      <c r="H25" s="49"/>
      <c r="I25" s="50" t="s">
        <v>10</v>
      </c>
      <c r="J25" s="51">
        <f>J7+J10+J13+J16+J19+J22</f>
        <v>200000</v>
      </c>
      <c r="K25" s="51">
        <f>K7+K10+K13+K16+K19+K22</f>
        <v>48750</v>
      </c>
      <c r="L25" s="51">
        <f>L7+L10+L13+L16+L19+L22</f>
        <v>821250</v>
      </c>
      <c r="M25" s="51">
        <f>M7+M10+M13+M16+M19+M22</f>
        <v>712500</v>
      </c>
      <c r="N25" s="51">
        <f>N7+N10+N13+N16+N19+N22</f>
        <v>0</v>
      </c>
      <c r="O25" s="51">
        <f>O7+O10+O13+O16+O19+O22</f>
        <v>0</v>
      </c>
      <c r="P25" s="51">
        <f>P7+P10+P13+P16+P19+P22</f>
        <v>0</v>
      </c>
      <c r="Q25" s="51">
        <f>SUM(J25:P25)</f>
        <v>1782500</v>
      </c>
    </row>
    <row r="26" spans="1:17" s="52" customFormat="1" ht="27.75" customHeight="1">
      <c r="A26" s="45"/>
      <c r="B26" s="46"/>
      <c r="C26" s="47"/>
      <c r="D26" s="47"/>
      <c r="E26" s="47"/>
      <c r="F26" s="48"/>
      <c r="G26" s="49"/>
      <c r="H26" s="49"/>
      <c r="I26" s="50" t="s">
        <v>17</v>
      </c>
      <c r="J26" s="51">
        <f>J8+J11+J14+J17+J20+J23</f>
        <v>0</v>
      </c>
      <c r="K26" s="51">
        <f>K8+K11+K14+K17+K20+K23</f>
        <v>276250</v>
      </c>
      <c r="L26" s="51">
        <f>L8+L11+L14+L17+L20+L23</f>
        <v>4653750</v>
      </c>
      <c r="M26" s="51">
        <f>M8+M11+M14+M17+M20+M23</f>
        <v>4037500</v>
      </c>
      <c r="N26" s="51">
        <f>N8+N11+N14+N17+N20+N23</f>
        <v>0</v>
      </c>
      <c r="O26" s="51">
        <f>O8+O11+O14+O17+O20+O23</f>
        <v>0</v>
      </c>
      <c r="P26" s="51">
        <f>P8+P11+P14+P17+P20+P23</f>
        <v>0</v>
      </c>
      <c r="Q26" s="51">
        <f>SUM(J26:P26)</f>
        <v>8967500</v>
      </c>
    </row>
    <row r="27" spans="1:17" s="52" customFormat="1" ht="27.75" customHeight="1">
      <c r="A27" s="45"/>
      <c r="B27" s="46"/>
      <c r="C27" s="47"/>
      <c r="D27" s="47"/>
      <c r="E27" s="47"/>
      <c r="F27" s="48"/>
      <c r="G27" s="49"/>
      <c r="H27" s="49"/>
      <c r="I27" s="50" t="s">
        <v>18</v>
      </c>
      <c r="J27" s="51">
        <f>J25+J26</f>
        <v>200000</v>
      </c>
      <c r="K27" s="51">
        <f>K25+K26</f>
        <v>325000</v>
      </c>
      <c r="L27" s="51">
        <f>L25+L26</f>
        <v>5475000</v>
      </c>
      <c r="M27" s="51">
        <f>M25+M26</f>
        <v>4750000</v>
      </c>
      <c r="N27" s="51">
        <f>N25+N26</f>
        <v>0</v>
      </c>
      <c r="O27" s="51"/>
      <c r="P27" s="51"/>
      <c r="Q27" s="51">
        <f>SUM(J27:P27)</f>
        <v>10750000</v>
      </c>
    </row>
    <row r="28" spans="1:17" ht="27.75" customHeight="1">
      <c r="A28" s="8">
        <v>8</v>
      </c>
      <c r="B28" s="16" t="s">
        <v>52</v>
      </c>
      <c r="C28" s="9"/>
      <c r="D28" s="9"/>
      <c r="E28" s="9"/>
      <c r="F28" s="17">
        <f>SUM(J30:P30)</f>
        <v>6000000</v>
      </c>
      <c r="G28" s="11"/>
      <c r="H28" s="11"/>
      <c r="I28" s="18" t="s">
        <v>10</v>
      </c>
      <c r="J28" s="19">
        <v>0</v>
      </c>
      <c r="K28" s="19"/>
      <c r="L28" s="19"/>
      <c r="M28" s="19">
        <f>250000*0.15</f>
        <v>37500</v>
      </c>
      <c r="N28" s="19">
        <f>5750000*0.15</f>
        <v>862500</v>
      </c>
      <c r="O28" s="19"/>
      <c r="P28" s="19"/>
      <c r="Q28" s="19"/>
    </row>
    <row r="29" spans="1:17" ht="27.75" customHeight="1">
      <c r="A29" s="8"/>
      <c r="B29" s="16"/>
      <c r="C29" s="9"/>
      <c r="D29" s="9"/>
      <c r="E29" s="9"/>
      <c r="F29" s="17"/>
      <c r="G29" s="11"/>
      <c r="H29" s="11"/>
      <c r="I29" s="18" t="s">
        <v>17</v>
      </c>
      <c r="J29" s="19"/>
      <c r="K29" s="19"/>
      <c r="L29" s="19"/>
      <c r="M29" s="19">
        <f>250000*0.85</f>
        <v>212500</v>
      </c>
      <c r="N29" s="19">
        <f>5750000*0.85</f>
        <v>4887500</v>
      </c>
      <c r="O29" s="19"/>
      <c r="P29" s="19"/>
      <c r="Q29" s="19"/>
    </row>
    <row r="30" spans="1:17" ht="27.75" customHeight="1">
      <c r="A30" s="8"/>
      <c r="B30" s="16"/>
      <c r="C30" s="9"/>
      <c r="D30" s="9"/>
      <c r="E30" s="9"/>
      <c r="F30" s="17"/>
      <c r="G30" s="11"/>
      <c r="H30" s="11"/>
      <c r="I30" s="20" t="s">
        <v>18</v>
      </c>
      <c r="J30" s="21">
        <f>J28+J29</f>
        <v>0</v>
      </c>
      <c r="K30" s="21">
        <f>K28+K29</f>
        <v>0</v>
      </c>
      <c r="L30" s="21">
        <f>L28+L29</f>
        <v>0</v>
      </c>
      <c r="M30" s="21">
        <f>M28+M29</f>
        <v>250000</v>
      </c>
      <c r="N30" s="21">
        <f>N28+N29</f>
        <v>5750000</v>
      </c>
      <c r="O30" s="21"/>
      <c r="P30" s="21"/>
      <c r="Q30" s="21">
        <f>SUM(J30:P30)</f>
        <v>6000000</v>
      </c>
    </row>
    <row r="31" spans="1:17" ht="27.75" customHeight="1">
      <c r="A31" s="8">
        <v>9</v>
      </c>
      <c r="B31" s="16" t="s">
        <v>53</v>
      </c>
      <c r="C31" s="9"/>
      <c r="D31" s="9"/>
      <c r="E31" s="9"/>
      <c r="F31" s="17">
        <f>SUM(J33:P33)</f>
        <v>10010000</v>
      </c>
      <c r="G31" s="11"/>
      <c r="H31" s="11"/>
      <c r="I31" s="18" t="s">
        <v>10</v>
      </c>
      <c r="J31" s="19">
        <v>10000</v>
      </c>
      <c r="K31" s="19">
        <f>250000*0.15</f>
        <v>37500</v>
      </c>
      <c r="L31" s="19">
        <f>9750000*0.15</f>
        <v>1462500</v>
      </c>
      <c r="M31" s="19"/>
      <c r="N31" s="19"/>
      <c r="O31" s="19"/>
      <c r="P31" s="19"/>
      <c r="Q31" s="19"/>
    </row>
    <row r="32" spans="1:17" ht="27.75" customHeight="1">
      <c r="A32" s="8"/>
      <c r="B32" s="16"/>
      <c r="C32" s="9"/>
      <c r="D32" s="9"/>
      <c r="E32" s="9"/>
      <c r="F32" s="17"/>
      <c r="G32" s="11"/>
      <c r="H32" s="11"/>
      <c r="I32" s="18" t="s">
        <v>17</v>
      </c>
      <c r="J32" s="19"/>
      <c r="K32" s="19">
        <f>250000*0.85</f>
        <v>212500</v>
      </c>
      <c r="L32" s="19">
        <f>9750000*0.85</f>
        <v>8287500</v>
      </c>
      <c r="M32" s="19"/>
      <c r="N32" s="19"/>
      <c r="O32" s="19"/>
      <c r="P32" s="19"/>
      <c r="Q32" s="19"/>
    </row>
    <row r="33" spans="1:17" ht="27.75" customHeight="1">
      <c r="A33" s="8"/>
      <c r="B33" s="16"/>
      <c r="C33" s="9"/>
      <c r="D33" s="9"/>
      <c r="E33" s="9"/>
      <c r="F33" s="17"/>
      <c r="G33" s="11"/>
      <c r="H33" s="11"/>
      <c r="I33" s="20" t="s">
        <v>18</v>
      </c>
      <c r="J33" s="21">
        <f>J31+J32</f>
        <v>10000</v>
      </c>
      <c r="K33" s="21">
        <f>K31+K32</f>
        <v>250000</v>
      </c>
      <c r="L33" s="21">
        <f>L31+L32</f>
        <v>9750000</v>
      </c>
      <c r="M33" s="21">
        <f>M31+M32</f>
        <v>0</v>
      </c>
      <c r="N33" s="21">
        <f>N31+N32</f>
        <v>0</v>
      </c>
      <c r="O33" s="21"/>
      <c r="P33" s="21"/>
      <c r="Q33" s="21">
        <f>SUM(J33:P33)</f>
        <v>10010000</v>
      </c>
    </row>
    <row r="34" spans="1:17" ht="27.75" customHeight="1">
      <c r="A34" s="8">
        <v>10</v>
      </c>
      <c r="B34" s="16" t="s">
        <v>54</v>
      </c>
      <c r="C34" s="9"/>
      <c r="D34" s="9"/>
      <c r="E34" s="9"/>
      <c r="F34" s="17">
        <f>SUM(J36:P36)</f>
        <v>8000000</v>
      </c>
      <c r="G34" s="11"/>
      <c r="H34" s="11"/>
      <c r="I34" s="18" t="s">
        <v>10</v>
      </c>
      <c r="J34" s="19">
        <v>0</v>
      </c>
      <c r="K34" s="19">
        <v>0</v>
      </c>
      <c r="L34" s="19">
        <f>250000*0.15</f>
        <v>37500</v>
      </c>
      <c r="M34" s="19">
        <f>7750000*0.15</f>
        <v>1162500</v>
      </c>
      <c r="N34" s="19"/>
      <c r="O34" s="19"/>
      <c r="P34" s="19"/>
      <c r="Q34" s="19"/>
    </row>
    <row r="35" spans="1:17" ht="27.75" customHeight="1">
      <c r="A35" s="8"/>
      <c r="B35" s="16"/>
      <c r="C35" s="9"/>
      <c r="D35" s="9"/>
      <c r="E35" s="9"/>
      <c r="F35" s="17"/>
      <c r="G35" s="11"/>
      <c r="H35" s="11"/>
      <c r="I35" s="18" t="s">
        <v>17</v>
      </c>
      <c r="J35" s="19"/>
      <c r="K35" s="19"/>
      <c r="L35" s="19">
        <f>250000*0.85</f>
        <v>212500</v>
      </c>
      <c r="M35" s="19">
        <f>7750000*0.85</f>
        <v>6587500</v>
      </c>
      <c r="N35" s="19"/>
      <c r="O35" s="19"/>
      <c r="P35" s="19"/>
      <c r="Q35" s="19"/>
    </row>
    <row r="36" spans="1:17" ht="27.75" customHeight="1">
      <c r="A36" s="8"/>
      <c r="B36" s="16"/>
      <c r="C36" s="9"/>
      <c r="D36" s="9"/>
      <c r="E36" s="9"/>
      <c r="F36" s="17"/>
      <c r="G36" s="11"/>
      <c r="H36" s="11"/>
      <c r="I36" s="20" t="s">
        <v>18</v>
      </c>
      <c r="J36" s="21">
        <f>J34+J35</f>
        <v>0</v>
      </c>
      <c r="K36" s="21">
        <f>K34+K35</f>
        <v>0</v>
      </c>
      <c r="L36" s="21">
        <f>L34+L35</f>
        <v>250000</v>
      </c>
      <c r="M36" s="21">
        <f>M34+M35</f>
        <v>7750000</v>
      </c>
      <c r="N36" s="21"/>
      <c r="O36" s="21"/>
      <c r="P36" s="21"/>
      <c r="Q36" s="21">
        <f>SUM(J36:P36)</f>
        <v>8000000</v>
      </c>
    </row>
    <row r="37" spans="1:17" s="52" customFormat="1" ht="27.75" customHeight="1">
      <c r="A37" s="45">
        <v>11</v>
      </c>
      <c r="B37" s="46" t="s">
        <v>55</v>
      </c>
      <c r="C37" s="47"/>
      <c r="D37" s="47"/>
      <c r="E37" s="47"/>
      <c r="F37" s="48">
        <f>F28+F31+F34</f>
        <v>24010000</v>
      </c>
      <c r="G37" s="49"/>
      <c r="H37" s="49"/>
      <c r="I37" s="50" t="s">
        <v>10</v>
      </c>
      <c r="J37" s="51">
        <f>J28+J31+J34</f>
        <v>10000</v>
      </c>
      <c r="K37" s="51">
        <f>K28+K31+K34</f>
        <v>37500</v>
      </c>
      <c r="L37" s="51">
        <f>L28+L31+L34</f>
        <v>1500000</v>
      </c>
      <c r="M37" s="51">
        <f>M28+M31+M34</f>
        <v>1200000</v>
      </c>
      <c r="N37" s="51">
        <f>N28+N31+N34</f>
        <v>862500</v>
      </c>
      <c r="O37" s="51">
        <f>O28+O31+O34</f>
        <v>0</v>
      </c>
      <c r="P37" s="51">
        <f>P28+P31+P34</f>
        <v>0</v>
      </c>
      <c r="Q37" s="51"/>
    </row>
    <row r="38" spans="1:17" s="52" customFormat="1" ht="27.75" customHeight="1">
      <c r="A38" s="45"/>
      <c r="B38" s="46"/>
      <c r="C38" s="47"/>
      <c r="D38" s="47"/>
      <c r="E38" s="47"/>
      <c r="F38" s="48"/>
      <c r="G38" s="49"/>
      <c r="H38" s="49"/>
      <c r="I38" s="50" t="s">
        <v>17</v>
      </c>
      <c r="J38" s="51">
        <f>J29+J32+J35</f>
        <v>0</v>
      </c>
      <c r="K38" s="51">
        <f>K29+K32+K35</f>
        <v>212500</v>
      </c>
      <c r="L38" s="51">
        <f>L29+L32+L35</f>
        <v>8500000</v>
      </c>
      <c r="M38" s="51">
        <f>M29+M32+M35</f>
        <v>6800000</v>
      </c>
      <c r="N38" s="51">
        <f>N29+N32+N35</f>
        <v>4887500</v>
      </c>
      <c r="O38" s="51">
        <f>O29+O32+O35</f>
        <v>0</v>
      </c>
      <c r="P38" s="51">
        <f>P29+P32+P35</f>
        <v>0</v>
      </c>
      <c r="Q38" s="51"/>
    </row>
    <row r="39" spans="1:17" s="52" customFormat="1" ht="27.75" customHeight="1">
      <c r="A39" s="45"/>
      <c r="B39" s="46"/>
      <c r="C39" s="47"/>
      <c r="D39" s="47"/>
      <c r="E39" s="47"/>
      <c r="F39" s="48"/>
      <c r="G39" s="49"/>
      <c r="H39" s="49"/>
      <c r="I39" s="50" t="s">
        <v>18</v>
      </c>
      <c r="J39" s="51">
        <f>J37+J38</f>
        <v>10000</v>
      </c>
      <c r="K39" s="51">
        <f>K37+K38</f>
        <v>250000</v>
      </c>
      <c r="L39" s="51">
        <f>L37+L38</f>
        <v>10000000</v>
      </c>
      <c r="M39" s="51">
        <f>M37+M38</f>
        <v>8000000</v>
      </c>
      <c r="N39" s="51">
        <f>N37+N38</f>
        <v>5750000</v>
      </c>
      <c r="O39" s="51"/>
      <c r="P39" s="51"/>
      <c r="Q39" s="51">
        <f>SUM(J39:P39)</f>
        <v>24010000</v>
      </c>
    </row>
  </sheetData>
  <mergeCells count="88">
    <mergeCell ref="A7:A9"/>
    <mergeCell ref="B7:B9"/>
    <mergeCell ref="C7:C9"/>
    <mergeCell ref="D7:D9"/>
    <mergeCell ref="E7:E9"/>
    <mergeCell ref="F7:F9"/>
    <mergeCell ref="G7:G9"/>
    <mergeCell ref="H7:H9"/>
    <mergeCell ref="A10:A11"/>
    <mergeCell ref="B10:B12"/>
    <mergeCell ref="C10:C12"/>
    <mergeCell ref="D10:D12"/>
    <mergeCell ref="E10:E12"/>
    <mergeCell ref="F10:F12"/>
    <mergeCell ref="G10:G12"/>
    <mergeCell ref="H10:H12"/>
    <mergeCell ref="A13:A15"/>
    <mergeCell ref="B13:B15"/>
    <mergeCell ref="C13:C15"/>
    <mergeCell ref="D13:D15"/>
    <mergeCell ref="E13:E15"/>
    <mergeCell ref="F13:F15"/>
    <mergeCell ref="G13:G15"/>
    <mergeCell ref="H13:H15"/>
    <mergeCell ref="A16:A18"/>
    <mergeCell ref="B16:B18"/>
    <mergeCell ref="C16:C18"/>
    <mergeCell ref="D16:D18"/>
    <mergeCell ref="E16:E18"/>
    <mergeCell ref="F16:F18"/>
    <mergeCell ref="G16:G18"/>
    <mergeCell ref="H16:H18"/>
    <mergeCell ref="A19:A21"/>
    <mergeCell ref="B19:B21"/>
    <mergeCell ref="C19:C21"/>
    <mergeCell ref="D19:D21"/>
    <mergeCell ref="E19:E21"/>
    <mergeCell ref="F19:F21"/>
    <mergeCell ref="G19:G21"/>
    <mergeCell ref="H19:H21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28:A30"/>
    <mergeCell ref="B28:B30"/>
    <mergeCell ref="C28:C30"/>
    <mergeCell ref="D28:D30"/>
    <mergeCell ref="E28:E30"/>
    <mergeCell ref="F28:F30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34:A36"/>
    <mergeCell ref="B34:B36"/>
    <mergeCell ref="C34:C36"/>
    <mergeCell ref="D34:D36"/>
    <mergeCell ref="E34:E36"/>
    <mergeCell ref="F34:F36"/>
    <mergeCell ref="G34:G36"/>
    <mergeCell ref="H34:H36"/>
    <mergeCell ref="A37:A39"/>
    <mergeCell ref="B37:B39"/>
    <mergeCell ref="C37:C39"/>
    <mergeCell ref="D37:D39"/>
    <mergeCell ref="E37:E39"/>
    <mergeCell ref="F37:F39"/>
    <mergeCell ref="G37:G39"/>
    <mergeCell ref="H37:H39"/>
  </mergeCells>
  <printOptions/>
  <pageMargins left="0.7875" right="0.7875" top="0.7875" bottom="0.7875" header="0.5118055555555555" footer="0.5118055555555555"/>
  <pageSetup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workbookViewId="0" topLeftCell="A1">
      <selection activeCell="A1" sqref="A1"/>
    </sheetView>
  </sheetViews>
  <sheetFormatPr defaultColWidth="12.57421875" defaultRowHeight="12.75"/>
  <cols>
    <col min="1" max="1" width="2.8515625" style="0" customWidth="1"/>
    <col min="2" max="2" width="21.421875" style="1" customWidth="1"/>
    <col min="3" max="3" width="14.28125" style="1" customWidth="1"/>
    <col min="4" max="4" width="15.28125" style="1" customWidth="1"/>
    <col min="5" max="5" width="7.00390625" style="1" customWidth="1"/>
    <col min="6" max="6" width="7.421875" style="0" customWidth="1"/>
    <col min="7" max="7" width="6.8515625" style="1" customWidth="1"/>
    <col min="8" max="8" width="6.28125" style="1" customWidth="1"/>
    <col min="9" max="9" width="6.28125" style="0" customWidth="1"/>
    <col min="10" max="16" width="5.57421875" style="0" customWidth="1"/>
    <col min="17" max="16384" width="11.57421875" style="0" customWidth="1"/>
  </cols>
  <sheetData>
    <row r="1" spans="1:4" ht="12.75">
      <c r="A1" s="4" t="s">
        <v>56</v>
      </c>
      <c r="B1" s="5"/>
      <c r="C1" s="5"/>
      <c r="D1" s="5"/>
    </row>
    <row r="3" ht="12.75">
      <c r="F3" s="53" t="s">
        <v>57</v>
      </c>
    </row>
    <row r="5" spans="1:28" ht="35.2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2" t="s">
        <v>58</v>
      </c>
      <c r="K5" s="12"/>
      <c r="L5" s="12"/>
      <c r="M5" s="12"/>
      <c r="N5" s="12"/>
      <c r="O5" s="12"/>
      <c r="P5" s="12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16" ht="12.75">
      <c r="A6" s="8"/>
      <c r="B6" s="9"/>
      <c r="C6" s="9"/>
      <c r="D6" s="9"/>
      <c r="E6" s="9"/>
      <c r="F6" s="9"/>
      <c r="G6" s="9"/>
      <c r="H6" s="9"/>
      <c r="I6" s="9"/>
      <c r="J6" s="12">
        <v>2007</v>
      </c>
      <c r="K6" s="12">
        <v>2008</v>
      </c>
      <c r="L6" s="12">
        <v>2009</v>
      </c>
      <c r="M6" s="12">
        <v>2010</v>
      </c>
      <c r="N6" s="12">
        <v>2011</v>
      </c>
      <c r="O6" s="12">
        <v>2012</v>
      </c>
      <c r="P6" s="12">
        <v>2013</v>
      </c>
    </row>
    <row r="7" spans="1:16" ht="55.5" customHeight="1">
      <c r="A7" s="8">
        <v>1</v>
      </c>
      <c r="B7" s="16" t="s">
        <v>59</v>
      </c>
      <c r="C7" s="9" t="s">
        <v>14</v>
      </c>
      <c r="D7" s="9" t="s">
        <v>15</v>
      </c>
      <c r="E7" s="9" t="s">
        <v>16</v>
      </c>
      <c r="F7" s="8"/>
      <c r="G7" s="9">
        <v>85</v>
      </c>
      <c r="H7" s="9">
        <v>15</v>
      </c>
      <c r="I7" s="54"/>
      <c r="J7" s="54"/>
      <c r="K7" s="54"/>
      <c r="L7" s="54"/>
      <c r="M7" s="54"/>
      <c r="N7" s="54"/>
      <c r="O7" s="54"/>
      <c r="P7" s="54"/>
    </row>
    <row r="8" spans="1:16" ht="53.25">
      <c r="A8" s="8">
        <v>2</v>
      </c>
      <c r="B8" s="16" t="s">
        <v>19</v>
      </c>
      <c r="C8" s="9" t="s">
        <v>14</v>
      </c>
      <c r="D8" s="9" t="s">
        <v>20</v>
      </c>
      <c r="E8" s="9" t="s">
        <v>16</v>
      </c>
      <c r="F8" s="8"/>
      <c r="G8" s="9">
        <v>85</v>
      </c>
      <c r="H8" s="9">
        <v>15</v>
      </c>
      <c r="I8" s="54"/>
      <c r="J8" s="54"/>
      <c r="K8" s="54"/>
      <c r="L8" s="54"/>
      <c r="M8" s="54"/>
      <c r="N8" s="54"/>
      <c r="O8" s="54"/>
      <c r="P8" s="54"/>
    </row>
    <row r="9" spans="1:16" ht="53.25">
      <c r="A9" s="8">
        <v>3</v>
      </c>
      <c r="B9" s="16" t="s">
        <v>21</v>
      </c>
      <c r="C9" s="9" t="s">
        <v>14</v>
      </c>
      <c r="D9" s="9" t="s">
        <v>20</v>
      </c>
      <c r="E9" s="9" t="s">
        <v>16</v>
      </c>
      <c r="F9" s="8"/>
      <c r="G9" s="9">
        <v>85</v>
      </c>
      <c r="H9" s="9">
        <v>15</v>
      </c>
      <c r="I9" s="54"/>
      <c r="J9" s="54"/>
      <c r="K9" s="54"/>
      <c r="L9" s="54"/>
      <c r="M9" s="54"/>
      <c r="N9" s="54"/>
      <c r="O9" s="54"/>
      <c r="P9" s="54"/>
    </row>
    <row r="10" spans="1:16" ht="54" customHeight="1">
      <c r="A10" s="8">
        <v>4</v>
      </c>
      <c r="B10" s="16" t="s">
        <v>22</v>
      </c>
      <c r="C10" s="9" t="s">
        <v>14</v>
      </c>
      <c r="D10" s="9" t="s">
        <v>20</v>
      </c>
      <c r="E10" s="9" t="s">
        <v>16</v>
      </c>
      <c r="F10" s="8"/>
      <c r="G10" s="9">
        <v>85</v>
      </c>
      <c r="H10" s="9">
        <v>15</v>
      </c>
      <c r="I10" s="54"/>
      <c r="J10" s="54"/>
      <c r="K10" s="54"/>
      <c r="L10" s="54"/>
      <c r="M10" s="54"/>
      <c r="N10" s="54"/>
      <c r="O10" s="54"/>
      <c r="P10" s="54"/>
    </row>
    <row r="11" spans="1:16" ht="78.75" customHeight="1">
      <c r="A11" s="8">
        <v>5</v>
      </c>
      <c r="B11" s="16" t="s">
        <v>60</v>
      </c>
      <c r="C11" s="9" t="s">
        <v>14</v>
      </c>
      <c r="D11" s="9" t="s">
        <v>24</v>
      </c>
      <c r="E11" s="9" t="s">
        <v>16</v>
      </c>
      <c r="F11" s="8"/>
      <c r="G11" s="9">
        <v>85</v>
      </c>
      <c r="H11" s="9">
        <v>15</v>
      </c>
      <c r="I11" s="54"/>
      <c r="J11" s="54"/>
      <c r="K11" s="54"/>
      <c r="L11" s="54"/>
      <c r="M11" s="54"/>
      <c r="N11" s="54"/>
      <c r="O11" s="54"/>
      <c r="P11" s="54"/>
    </row>
    <row r="12" spans="1:16" ht="66" customHeight="1">
      <c r="A12" s="8">
        <v>6</v>
      </c>
      <c r="B12" s="16" t="s">
        <v>25</v>
      </c>
      <c r="C12" s="9" t="s">
        <v>14</v>
      </c>
      <c r="D12" s="9" t="s">
        <v>26</v>
      </c>
      <c r="E12" s="9" t="s">
        <v>16</v>
      </c>
      <c r="F12" s="8"/>
      <c r="G12" s="9">
        <v>85</v>
      </c>
      <c r="H12" s="9">
        <v>15</v>
      </c>
      <c r="I12" s="54"/>
      <c r="J12" s="54"/>
      <c r="K12" s="54"/>
      <c r="L12" s="54"/>
      <c r="M12" s="54"/>
      <c r="N12" s="54"/>
      <c r="O12" s="54"/>
      <c r="P12" s="54"/>
    </row>
    <row r="13" spans="1:16" ht="53.25">
      <c r="A13" s="8">
        <v>7</v>
      </c>
      <c r="B13" s="16" t="s">
        <v>27</v>
      </c>
      <c r="C13" s="9" t="s">
        <v>14</v>
      </c>
      <c r="D13" s="9" t="s">
        <v>28</v>
      </c>
      <c r="E13" s="9" t="s">
        <v>16</v>
      </c>
      <c r="F13" s="8"/>
      <c r="G13" s="9">
        <v>85</v>
      </c>
      <c r="H13" s="9">
        <v>15</v>
      </c>
      <c r="I13" s="54"/>
      <c r="J13" s="54"/>
      <c r="K13" s="54"/>
      <c r="L13" s="54"/>
      <c r="M13" s="54"/>
      <c r="N13" s="54"/>
      <c r="O13" s="54"/>
      <c r="P13" s="54"/>
    </row>
    <row r="14" spans="1:16" ht="60" customHeight="1">
      <c r="A14" s="8">
        <v>8</v>
      </c>
      <c r="B14" s="16" t="s">
        <v>61</v>
      </c>
      <c r="C14" s="9" t="s">
        <v>14</v>
      </c>
      <c r="D14" s="9" t="s">
        <v>30</v>
      </c>
      <c r="E14" s="9" t="s">
        <v>16</v>
      </c>
      <c r="F14" s="8"/>
      <c r="G14" s="9">
        <v>85</v>
      </c>
      <c r="H14" s="9">
        <v>15</v>
      </c>
      <c r="I14" s="54"/>
      <c r="J14" s="54"/>
      <c r="K14" s="54"/>
      <c r="L14" s="54"/>
      <c r="M14" s="54"/>
      <c r="N14" s="54"/>
      <c r="O14" s="54"/>
      <c r="P14" s="54"/>
    </row>
    <row r="15" spans="1:16" ht="60.75" customHeight="1">
      <c r="A15" s="8">
        <v>9</v>
      </c>
      <c r="B15" s="16" t="s">
        <v>31</v>
      </c>
      <c r="C15" s="9" t="s">
        <v>14</v>
      </c>
      <c r="D15" s="9" t="s">
        <v>32</v>
      </c>
      <c r="E15" s="9" t="s">
        <v>16</v>
      </c>
      <c r="F15" s="8"/>
      <c r="G15" s="9">
        <v>85</v>
      </c>
      <c r="H15" s="9">
        <v>15</v>
      </c>
      <c r="I15" s="54"/>
      <c r="J15" s="54"/>
      <c r="K15" s="54"/>
      <c r="L15" s="54"/>
      <c r="M15" s="54"/>
      <c r="N15" s="54"/>
      <c r="O15" s="54"/>
      <c r="P15" s="54"/>
    </row>
    <row r="16" spans="1:16" ht="63.75">
      <c r="A16" s="8">
        <v>10</v>
      </c>
      <c r="B16" s="16" t="s">
        <v>62</v>
      </c>
      <c r="C16" s="9" t="s">
        <v>14</v>
      </c>
      <c r="D16" s="9" t="s">
        <v>26</v>
      </c>
      <c r="E16" s="9" t="s">
        <v>16</v>
      </c>
      <c r="F16" s="8"/>
      <c r="G16" s="9">
        <v>85</v>
      </c>
      <c r="H16" s="9">
        <v>15</v>
      </c>
      <c r="I16" s="54"/>
      <c r="J16" s="54"/>
      <c r="K16" s="54"/>
      <c r="L16" s="54"/>
      <c r="M16" s="54"/>
      <c r="N16" s="54"/>
      <c r="O16" s="54"/>
      <c r="P16" s="54"/>
    </row>
    <row r="17" spans="1:16" ht="63.75" customHeight="1">
      <c r="A17" s="8">
        <v>11</v>
      </c>
      <c r="B17" s="16" t="s">
        <v>63</v>
      </c>
      <c r="C17" s="9" t="s">
        <v>14</v>
      </c>
      <c r="D17" s="9" t="s">
        <v>26</v>
      </c>
      <c r="E17" s="9" t="s">
        <v>16</v>
      </c>
      <c r="F17" s="8"/>
      <c r="G17" s="9">
        <v>85</v>
      </c>
      <c r="H17" s="9">
        <v>15</v>
      </c>
      <c r="I17" s="54"/>
      <c r="J17" s="54"/>
      <c r="K17" s="54"/>
      <c r="L17" s="54"/>
      <c r="M17" s="54"/>
      <c r="N17" s="54"/>
      <c r="O17" s="54"/>
      <c r="P17" s="54"/>
    </row>
    <row r="18" spans="1:16" ht="54.75" customHeight="1">
      <c r="A18" s="8">
        <v>12</v>
      </c>
      <c r="B18" s="16" t="s">
        <v>64</v>
      </c>
      <c r="C18" s="9" t="s">
        <v>14</v>
      </c>
      <c r="D18" s="9" t="s">
        <v>36</v>
      </c>
      <c r="E18" s="9" t="s">
        <v>16</v>
      </c>
      <c r="F18" s="8"/>
      <c r="G18" s="9">
        <v>85</v>
      </c>
      <c r="H18" s="9">
        <v>15</v>
      </c>
      <c r="I18" s="54"/>
      <c r="J18" s="54"/>
      <c r="K18" s="54"/>
      <c r="L18" s="54"/>
      <c r="M18" s="54"/>
      <c r="N18" s="54"/>
      <c r="O18" s="54"/>
      <c r="P18" s="54"/>
    </row>
    <row r="19" spans="1:16" ht="27.75" customHeight="1">
      <c r="A19" s="8">
        <v>13</v>
      </c>
      <c r="B19" s="16" t="s">
        <v>65</v>
      </c>
      <c r="C19" s="9" t="s">
        <v>40</v>
      </c>
      <c r="D19" s="9" t="s">
        <v>41</v>
      </c>
      <c r="E19" s="9" t="s">
        <v>42</v>
      </c>
      <c r="F19" s="8"/>
      <c r="G19" s="9">
        <v>85</v>
      </c>
      <c r="H19" s="9">
        <v>15</v>
      </c>
      <c r="I19" s="54"/>
      <c r="J19" s="54"/>
      <c r="K19" s="54"/>
      <c r="L19" s="54"/>
      <c r="M19" s="54"/>
      <c r="N19" s="54"/>
      <c r="O19" s="54"/>
      <c r="P19" s="54"/>
    </row>
    <row r="20" spans="1:16" ht="12.75">
      <c r="A20" s="55"/>
      <c r="B20" s="56"/>
      <c r="C20" s="56"/>
      <c r="D20" s="56"/>
      <c r="E20" s="56"/>
      <c r="F20" s="55"/>
      <c r="G20" s="56"/>
      <c r="H20" s="56"/>
      <c r="I20" s="57"/>
      <c r="J20" s="57"/>
      <c r="K20" s="57"/>
      <c r="L20" s="57"/>
      <c r="M20" s="57"/>
      <c r="N20" s="57"/>
      <c r="O20" s="57"/>
      <c r="P20" s="57"/>
    </row>
    <row r="21" spans="1:16" ht="12.75">
      <c r="A21" s="55"/>
      <c r="B21" s="56"/>
      <c r="C21" s="56"/>
      <c r="D21" s="56"/>
      <c r="E21" s="56"/>
      <c r="F21" s="55"/>
      <c r="G21" s="56"/>
      <c r="H21" s="56"/>
      <c r="I21" s="57"/>
      <c r="J21" s="57"/>
      <c r="K21" s="57"/>
      <c r="L21" s="57"/>
      <c r="M21" s="57"/>
      <c r="N21" s="57"/>
      <c r="O21" s="57"/>
      <c r="P21" s="57"/>
    </row>
    <row r="22" spans="1:16" ht="12.75">
      <c r="A22" s="55"/>
      <c r="B22" s="56"/>
      <c r="C22" s="56"/>
      <c r="D22" s="56"/>
      <c r="E22" s="56"/>
      <c r="F22" s="55"/>
      <c r="G22" s="56"/>
      <c r="H22" s="56"/>
      <c r="I22" s="57"/>
      <c r="J22" s="57"/>
      <c r="K22" s="57"/>
      <c r="L22" s="57"/>
      <c r="M22" s="57"/>
      <c r="N22" s="57"/>
      <c r="O22" s="57"/>
      <c r="P22" s="57"/>
    </row>
    <row r="23" spans="1:16" ht="12.75">
      <c r="A23" s="55"/>
      <c r="B23" s="56"/>
      <c r="C23" s="56"/>
      <c r="D23" s="56"/>
      <c r="E23" s="56"/>
      <c r="F23" s="55"/>
      <c r="G23" s="56"/>
      <c r="H23" s="56"/>
      <c r="I23" s="57"/>
      <c r="J23" s="57"/>
      <c r="K23" s="57"/>
      <c r="L23" s="57"/>
      <c r="M23" s="57"/>
      <c r="N23" s="57"/>
      <c r="O23" s="57"/>
      <c r="P23" s="57"/>
    </row>
    <row r="24" spans="1:16" ht="12.75">
      <c r="A24" s="55"/>
      <c r="B24" s="56"/>
      <c r="C24" s="56"/>
      <c r="D24" s="56"/>
      <c r="E24" s="56"/>
      <c r="F24" s="55"/>
      <c r="G24" s="56"/>
      <c r="H24" s="56"/>
      <c r="I24" s="57"/>
      <c r="J24" s="57"/>
      <c r="K24" s="57"/>
      <c r="L24" s="57"/>
      <c r="M24" s="57"/>
      <c r="N24" s="57"/>
      <c r="O24" s="57"/>
      <c r="P24" s="57"/>
    </row>
    <row r="25" spans="1:16" ht="12.75">
      <c r="A25" s="55"/>
      <c r="B25" s="56"/>
      <c r="C25" s="56"/>
      <c r="D25" s="56"/>
      <c r="E25" s="56"/>
      <c r="F25" s="55"/>
      <c r="G25" s="56"/>
      <c r="H25" s="56"/>
      <c r="I25" s="57"/>
      <c r="J25" s="57"/>
      <c r="K25" s="57"/>
      <c r="L25" s="57"/>
      <c r="M25" s="57"/>
      <c r="N25" s="57"/>
      <c r="O25" s="57"/>
      <c r="P25" s="57"/>
    </row>
    <row r="26" spans="1:16" ht="12.75">
      <c r="A26" s="55"/>
      <c r="B26" s="56"/>
      <c r="C26" s="56"/>
      <c r="D26" s="56"/>
      <c r="E26" s="56"/>
      <c r="F26" s="55"/>
      <c r="G26" s="56"/>
      <c r="H26" s="56"/>
      <c r="I26" s="57"/>
      <c r="J26" s="57"/>
      <c r="K26" s="57"/>
      <c r="L26" s="57"/>
      <c r="M26" s="57"/>
      <c r="N26" s="57"/>
      <c r="O26" s="57"/>
      <c r="P26" s="57"/>
    </row>
    <row r="27" spans="1:16" ht="12.75">
      <c r="A27" s="55"/>
      <c r="B27" s="56"/>
      <c r="C27" s="56"/>
      <c r="D27" s="56"/>
      <c r="E27" s="56"/>
      <c r="F27" s="55"/>
      <c r="G27" s="56"/>
      <c r="H27" s="56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55"/>
      <c r="B28" s="56"/>
      <c r="C28" s="56"/>
      <c r="D28" s="56"/>
      <c r="E28" s="56"/>
      <c r="F28" s="55"/>
      <c r="G28" s="56"/>
      <c r="H28" s="56"/>
      <c r="I28" s="57"/>
      <c r="J28" s="57"/>
      <c r="K28" s="57"/>
      <c r="L28" s="57"/>
      <c r="M28" s="57"/>
      <c r="N28" s="57"/>
      <c r="O28" s="57"/>
      <c r="P28" s="57"/>
    </row>
    <row r="29" spans="1:16" ht="12.75">
      <c r="A29" s="55"/>
      <c r="B29" s="56"/>
      <c r="C29" s="56"/>
      <c r="D29" s="56"/>
      <c r="E29" s="56"/>
      <c r="F29" s="55"/>
      <c r="G29" s="56"/>
      <c r="H29" s="56"/>
      <c r="I29" s="57"/>
      <c r="J29" s="57"/>
      <c r="K29" s="57"/>
      <c r="L29" s="57"/>
      <c r="M29" s="57"/>
      <c r="N29" s="57"/>
      <c r="O29" s="57"/>
      <c r="P29" s="57"/>
    </row>
    <row r="30" spans="1:16" ht="12.75">
      <c r="A30" s="55"/>
      <c r="B30" s="56"/>
      <c r="C30" s="56"/>
      <c r="D30" s="56"/>
      <c r="E30" s="56"/>
      <c r="F30" s="55"/>
      <c r="G30" s="56"/>
      <c r="H30" s="56"/>
      <c r="I30" s="57"/>
      <c r="J30" s="57"/>
      <c r="K30" s="57"/>
      <c r="L30" s="57"/>
      <c r="M30" s="57"/>
      <c r="N30" s="57"/>
      <c r="O30" s="57"/>
      <c r="P30" s="57"/>
    </row>
    <row r="31" spans="1:16" ht="12.75">
      <c r="A31" s="55"/>
      <c r="B31" s="56"/>
      <c r="C31" s="56"/>
      <c r="D31" s="56"/>
      <c r="E31" s="56"/>
      <c r="F31" s="55"/>
      <c r="G31" s="56"/>
      <c r="H31" s="56"/>
      <c r="I31" s="57"/>
      <c r="J31" s="57"/>
      <c r="K31" s="57"/>
      <c r="L31" s="57"/>
      <c r="M31" s="57"/>
      <c r="N31" s="57"/>
      <c r="O31" s="57"/>
      <c r="P31" s="57"/>
    </row>
    <row r="32" spans="1:16" ht="12.75">
      <c r="A32" s="55"/>
      <c r="B32" s="56"/>
      <c r="C32" s="56"/>
      <c r="D32" s="56"/>
      <c r="E32" s="56"/>
      <c r="F32" s="55"/>
      <c r="G32" s="56"/>
      <c r="H32" s="56"/>
      <c r="I32" s="57"/>
      <c r="J32" s="57"/>
      <c r="K32" s="57"/>
      <c r="L32" s="57"/>
      <c r="M32" s="57"/>
      <c r="N32" s="57"/>
      <c r="O32" s="57"/>
      <c r="P32" s="57"/>
    </row>
    <row r="33" spans="1:16" ht="12.75">
      <c r="A33" s="55"/>
      <c r="B33" s="56"/>
      <c r="C33" s="56"/>
      <c r="D33" s="56"/>
      <c r="E33" s="56"/>
      <c r="F33" s="55"/>
      <c r="G33" s="56"/>
      <c r="H33" s="56"/>
      <c r="I33" s="57"/>
      <c r="J33" s="57"/>
      <c r="K33" s="57"/>
      <c r="L33" s="57"/>
      <c r="M33" s="57"/>
      <c r="N33" s="57"/>
      <c r="O33" s="57"/>
      <c r="P33" s="57"/>
    </row>
    <row r="34" spans="1:16" ht="12.75">
      <c r="A34" s="55"/>
      <c r="B34" s="56"/>
      <c r="C34" s="56"/>
      <c r="D34" s="56"/>
      <c r="E34" s="56"/>
      <c r="F34" s="55"/>
      <c r="G34" s="56"/>
      <c r="H34" s="56"/>
      <c r="I34" s="57"/>
      <c r="J34" s="57"/>
      <c r="K34" s="57"/>
      <c r="L34" s="57"/>
      <c r="M34" s="57"/>
      <c r="N34" s="57"/>
      <c r="O34" s="57"/>
      <c r="P34" s="57"/>
    </row>
    <row r="35" spans="1:16" ht="12.75">
      <c r="A35" s="55"/>
      <c r="B35" s="56"/>
      <c r="C35" s="56"/>
      <c r="D35" s="56"/>
      <c r="E35" s="56"/>
      <c r="F35" s="55"/>
      <c r="G35" s="56"/>
      <c r="H35" s="56"/>
      <c r="I35" s="57"/>
      <c r="J35" s="57"/>
      <c r="K35" s="57"/>
      <c r="L35" s="57"/>
      <c r="M35" s="57"/>
      <c r="N35" s="57"/>
      <c r="O35" s="57"/>
      <c r="P35" s="57"/>
    </row>
    <row r="36" spans="1:16" ht="12.75">
      <c r="A36" s="55"/>
      <c r="B36" s="56"/>
      <c r="C36" s="56"/>
      <c r="D36" s="56"/>
      <c r="E36" s="56"/>
      <c r="F36" s="55"/>
      <c r="G36" s="56"/>
      <c r="H36" s="56"/>
      <c r="I36" s="57"/>
      <c r="J36" s="57"/>
      <c r="K36" s="57"/>
      <c r="L36" s="57"/>
      <c r="M36" s="57"/>
      <c r="N36" s="57"/>
      <c r="O36" s="57"/>
      <c r="P36" s="57"/>
    </row>
    <row r="37" spans="1:16" ht="12.75">
      <c r="A37" s="55"/>
      <c r="B37" s="56"/>
      <c r="C37" s="56"/>
      <c r="D37" s="56"/>
      <c r="E37" s="56"/>
      <c r="F37" s="55"/>
      <c r="G37" s="56"/>
      <c r="H37" s="56"/>
      <c r="I37" s="57"/>
      <c r="J37" s="57"/>
      <c r="K37" s="57"/>
      <c r="L37" s="57"/>
      <c r="M37" s="57"/>
      <c r="N37" s="57"/>
      <c r="O37" s="57"/>
      <c r="P37" s="57"/>
    </row>
    <row r="38" spans="1:16" ht="12.75">
      <c r="A38" s="55"/>
      <c r="B38" s="56"/>
      <c r="C38" s="56"/>
      <c r="D38" s="56"/>
      <c r="E38" s="56"/>
      <c r="F38" s="55"/>
      <c r="G38" s="56"/>
      <c r="H38" s="56"/>
      <c r="I38" s="57"/>
      <c r="J38" s="57"/>
      <c r="K38" s="57"/>
      <c r="L38" s="57"/>
      <c r="M38" s="57"/>
      <c r="N38" s="57"/>
      <c r="O38" s="57"/>
      <c r="P38" s="57"/>
    </row>
    <row r="39" spans="1:16" ht="12.75">
      <c r="A39" s="55"/>
      <c r="B39" s="56"/>
      <c r="C39" s="56"/>
      <c r="D39" s="56"/>
      <c r="E39" s="56"/>
      <c r="F39" s="55"/>
      <c r="G39" s="56"/>
      <c r="H39" s="56"/>
      <c r="I39" s="57"/>
      <c r="J39" s="57"/>
      <c r="K39" s="57"/>
      <c r="L39" s="57"/>
      <c r="M39" s="57"/>
      <c r="N39" s="57"/>
      <c r="O39" s="57"/>
      <c r="P39" s="57"/>
    </row>
    <row r="40" spans="1:16" ht="12.75">
      <c r="A40" s="55"/>
      <c r="B40" s="56"/>
      <c r="C40" s="56"/>
      <c r="D40" s="56"/>
      <c r="E40" s="56"/>
      <c r="F40" s="55"/>
      <c r="G40" s="56"/>
      <c r="H40" s="56"/>
      <c r="I40" s="57"/>
      <c r="J40" s="57"/>
      <c r="K40" s="57"/>
      <c r="L40" s="57"/>
      <c r="M40" s="57"/>
      <c r="N40" s="57"/>
      <c r="O40" s="57"/>
      <c r="P40" s="57"/>
    </row>
    <row r="41" spans="1:16" ht="12.75">
      <c r="A41" s="57"/>
      <c r="B41" s="58"/>
      <c r="C41" s="59"/>
      <c r="D41" s="59"/>
      <c r="E41" s="58"/>
      <c r="F41" s="57"/>
      <c r="G41" s="60"/>
      <c r="H41" s="60"/>
      <c r="I41" s="57"/>
      <c r="J41" s="57"/>
      <c r="K41" s="57"/>
      <c r="L41" s="57"/>
      <c r="M41" s="57"/>
      <c r="N41" s="57"/>
      <c r="O41" s="57"/>
      <c r="P41" s="57"/>
    </row>
    <row r="42" spans="1:16" ht="12.75">
      <c r="A42" s="57"/>
      <c r="B42" s="58"/>
      <c r="C42" s="59"/>
      <c r="D42" s="59"/>
      <c r="E42" s="58"/>
      <c r="F42" s="57"/>
      <c r="G42" s="60"/>
      <c r="H42" s="60"/>
      <c r="I42" s="57"/>
      <c r="J42" s="57"/>
      <c r="K42" s="57"/>
      <c r="L42" s="57"/>
      <c r="M42" s="57"/>
      <c r="N42" s="57"/>
      <c r="O42" s="57"/>
      <c r="P42" s="57"/>
    </row>
    <row r="43" spans="1:16" ht="12.75">
      <c r="A43" s="57"/>
      <c r="B43" s="58"/>
      <c r="C43" s="59"/>
      <c r="D43" s="59"/>
      <c r="E43" s="58"/>
      <c r="F43" s="57"/>
      <c r="G43" s="60"/>
      <c r="H43" s="60"/>
      <c r="I43" s="57"/>
      <c r="J43" s="57"/>
      <c r="K43" s="57"/>
      <c r="L43" s="57"/>
      <c r="M43" s="57"/>
      <c r="N43" s="57"/>
      <c r="O43" s="57"/>
      <c r="P43" s="57"/>
    </row>
    <row r="44" spans="1:16" ht="12.75">
      <c r="A44" s="57"/>
      <c r="B44" s="58"/>
      <c r="C44" s="59"/>
      <c r="D44" s="59"/>
      <c r="E44" s="58"/>
      <c r="F44" s="57"/>
      <c r="G44" s="60"/>
      <c r="H44" s="60"/>
      <c r="I44" s="57"/>
      <c r="J44" s="57"/>
      <c r="K44" s="57"/>
      <c r="L44" s="57"/>
      <c r="M44" s="57"/>
      <c r="N44" s="57"/>
      <c r="O44" s="57"/>
      <c r="P44" s="57"/>
    </row>
    <row r="45" spans="1:16" ht="12.75">
      <c r="A45" s="57"/>
      <c r="B45" s="58"/>
      <c r="C45" s="59"/>
      <c r="D45" s="59"/>
      <c r="E45" s="58"/>
      <c r="F45" s="57"/>
      <c r="G45" s="60"/>
      <c r="H45" s="60"/>
      <c r="I45" s="57"/>
      <c r="J45" s="57"/>
      <c r="K45" s="57"/>
      <c r="L45" s="57"/>
      <c r="M45" s="57"/>
      <c r="N45" s="57"/>
      <c r="O45" s="57"/>
      <c r="P45" s="57"/>
    </row>
    <row r="46" spans="1:16" ht="12.75">
      <c r="A46" s="57"/>
      <c r="B46" s="58"/>
      <c r="C46" s="59"/>
      <c r="D46" s="59"/>
      <c r="E46" s="58"/>
      <c r="F46" s="57"/>
      <c r="G46" s="60"/>
      <c r="H46" s="60"/>
      <c r="I46" s="57"/>
      <c r="J46" s="57"/>
      <c r="K46" s="57"/>
      <c r="L46" s="57"/>
      <c r="M46" s="57"/>
      <c r="N46" s="57"/>
      <c r="O46" s="57"/>
      <c r="P46" s="57"/>
    </row>
    <row r="47" spans="1:16" ht="12.75">
      <c r="A47" s="57"/>
      <c r="B47" s="58"/>
      <c r="C47" s="59"/>
      <c r="D47" s="59"/>
      <c r="E47" s="58"/>
      <c r="F47" s="57"/>
      <c r="G47" s="60"/>
      <c r="H47" s="60"/>
      <c r="I47" s="57"/>
      <c r="J47" s="57"/>
      <c r="K47" s="57"/>
      <c r="L47" s="57"/>
      <c r="M47" s="57"/>
      <c r="N47" s="57"/>
      <c r="O47" s="57"/>
      <c r="P47" s="57"/>
    </row>
    <row r="48" spans="1:16" ht="12.75">
      <c r="A48" s="57"/>
      <c r="B48" s="58"/>
      <c r="C48" s="59"/>
      <c r="D48" s="59"/>
      <c r="E48" s="58"/>
      <c r="F48" s="57"/>
      <c r="G48" s="60"/>
      <c r="H48" s="60"/>
      <c r="I48" s="57"/>
      <c r="J48" s="57"/>
      <c r="K48" s="57"/>
      <c r="L48" s="57"/>
      <c r="M48" s="57"/>
      <c r="N48" s="57"/>
      <c r="O48" s="57"/>
      <c r="P48" s="57"/>
    </row>
    <row r="49" spans="1:16" ht="12.75">
      <c r="A49" s="57"/>
      <c r="B49" s="58"/>
      <c r="C49" s="59"/>
      <c r="D49" s="59"/>
      <c r="E49" s="58"/>
      <c r="F49" s="57"/>
      <c r="G49" s="60"/>
      <c r="H49" s="60"/>
      <c r="I49" s="57"/>
      <c r="J49" s="57"/>
      <c r="K49" s="57"/>
      <c r="L49" s="57"/>
      <c r="M49" s="57"/>
      <c r="N49" s="57"/>
      <c r="O49" s="57"/>
      <c r="P49" s="57"/>
    </row>
    <row r="50" spans="3:8" ht="12.75">
      <c r="C50" s="61"/>
      <c r="D50" s="61"/>
      <c r="G50" s="62"/>
      <c r="H50" s="62"/>
    </row>
    <row r="51" spans="3:8" ht="12.75">
      <c r="C51" s="61"/>
      <c r="D51" s="61"/>
      <c r="G51" s="62"/>
      <c r="H51" s="62"/>
    </row>
    <row r="52" spans="3:8" ht="12.75">
      <c r="C52" s="61"/>
      <c r="D52" s="61"/>
      <c r="G52" s="62"/>
      <c r="H52" s="62"/>
    </row>
    <row r="53" spans="3:8" ht="12.75">
      <c r="C53" s="61"/>
      <c r="D53" s="61"/>
      <c r="G53" s="62"/>
      <c r="H53" s="62"/>
    </row>
    <row r="54" spans="3:8" ht="12.75">
      <c r="C54" s="62"/>
      <c r="D54" s="62"/>
      <c r="G54" s="62"/>
      <c r="H54" s="62"/>
    </row>
    <row r="55" spans="3:8" ht="12.75">
      <c r="C55" s="62"/>
      <c r="D55" s="62"/>
      <c r="G55" s="62"/>
      <c r="H55" s="62"/>
    </row>
    <row r="56" spans="3:8" ht="12.75">
      <c r="C56" s="62"/>
      <c r="D56" s="62"/>
      <c r="G56" s="62"/>
      <c r="H56" s="62"/>
    </row>
    <row r="57" spans="3:8" ht="12.75">
      <c r="C57" s="62"/>
      <c r="D57" s="62"/>
      <c r="G57" s="62"/>
      <c r="H57" s="62"/>
    </row>
    <row r="58" spans="3:8" ht="12.75">
      <c r="C58" s="62"/>
      <c r="D58" s="62"/>
      <c r="G58" s="62"/>
      <c r="H58" s="62"/>
    </row>
    <row r="59" spans="3:8" ht="12.75">
      <c r="C59" s="62"/>
      <c r="D59" s="62"/>
      <c r="G59" s="62"/>
      <c r="H59" s="62"/>
    </row>
    <row r="60" spans="3:8" ht="12.75">
      <c r="C60" s="62"/>
      <c r="D60" s="62"/>
      <c r="G60" s="62"/>
      <c r="H60" s="62"/>
    </row>
    <row r="61" spans="3:8" ht="12.75">
      <c r="C61" s="62"/>
      <c r="D61" s="62"/>
      <c r="G61" s="62"/>
      <c r="H61" s="62"/>
    </row>
    <row r="62" spans="3:8" ht="12.75">
      <c r="C62" s="62"/>
      <c r="D62" s="62"/>
      <c r="G62" s="62"/>
      <c r="H62" s="62"/>
    </row>
    <row r="63" spans="3:8" ht="12.75">
      <c r="C63" s="62"/>
      <c r="D63" s="62"/>
      <c r="G63" s="62"/>
      <c r="H63" s="62"/>
    </row>
    <row r="64" spans="3:8" ht="12.75">
      <c r="C64" s="62"/>
      <c r="D64" s="62"/>
      <c r="G64" s="62"/>
      <c r="H64" s="62"/>
    </row>
    <row r="65" spans="3:8" ht="12.75">
      <c r="C65" s="62"/>
      <c r="D65" s="62"/>
      <c r="G65" s="62"/>
      <c r="H65" s="62"/>
    </row>
    <row r="66" spans="3:8" ht="12.75">
      <c r="C66" s="62"/>
      <c r="D66" s="62"/>
      <c r="G66" s="62"/>
      <c r="H66" s="62"/>
    </row>
    <row r="67" spans="3:8" ht="12.75">
      <c r="C67" s="62"/>
      <c r="D67" s="62"/>
      <c r="G67" s="62"/>
      <c r="H67" s="62"/>
    </row>
    <row r="68" spans="3:8" ht="12.75">
      <c r="C68" s="62"/>
      <c r="D68" s="62"/>
      <c r="G68" s="62"/>
      <c r="H68" s="62"/>
    </row>
    <row r="69" spans="3:8" ht="12.75">
      <c r="C69" s="62"/>
      <c r="D69" s="62"/>
      <c r="G69" s="62"/>
      <c r="H69" s="62"/>
    </row>
    <row r="70" spans="3:8" ht="12.75">
      <c r="C70" s="62"/>
      <c r="D70" s="62"/>
      <c r="G70" s="62"/>
      <c r="H70" s="62"/>
    </row>
    <row r="71" spans="3:8" ht="12.75">
      <c r="C71" s="62"/>
      <c r="D71" s="62"/>
      <c r="G71" s="62"/>
      <c r="H71" s="62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P5"/>
  </mergeCells>
  <printOptions/>
  <pageMargins left="0.7875" right="0.7875" top="0.7875" bottom="0.7875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2007-08-09T13:46:42Z</cp:lastPrinted>
  <dcterms:created xsi:type="dcterms:W3CDTF">2007-07-25T13:11:44Z</dcterms:created>
  <dcterms:modified xsi:type="dcterms:W3CDTF">2007-08-09T13:47:35Z</dcterms:modified>
  <cp:category/>
  <cp:version/>
  <cp:contentType/>
  <cp:contentStatus/>
  <cp:revision>37</cp:revision>
</cp:coreProperties>
</file>